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10995" activeTab="0"/>
  </bookViews>
  <sheets>
    <sheet name="GTOS.EN EFECTIVO conacytDIC.06" sheetId="1" r:id="rId1"/>
  </sheets>
  <definedNames>
    <definedName name="_xlnm.Print_Titles" localSheetId="0">'GTOS.EN EFECTIVO conacytDIC.06'!$1:$1</definedName>
  </definedNames>
  <calcPr fullCalcOnLoad="1"/>
</workbook>
</file>

<file path=xl/sharedStrings.xml><?xml version="1.0" encoding="utf-8"?>
<sst xmlns="http://schemas.openxmlformats.org/spreadsheetml/2006/main" count="276" uniqueCount="150">
  <si>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</si>
  <si>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</si>
  <si>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</si>
  <si>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</si>
  <si>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</si>
  <si>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</si>
  <si>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</si>
  <si>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GASTO CORRIENTE</t>
  </si>
  <si>
    <t>CAPITULO 5000</t>
  </si>
  <si>
    <t>PARTIDA 5206</t>
  </si>
  <si>
    <t>PARTIDA 5401</t>
  </si>
  <si>
    <t>PARTIDA 5501</t>
  </si>
  <si>
    <t>CAPITULO 6000</t>
  </si>
  <si>
    <t>GASTO DE INVERSION</t>
  </si>
  <si>
    <t>GASTO TOTAL</t>
  </si>
  <si>
    <t>PRYID</t>
  </si>
  <si>
    <t>Total general</t>
  </si>
  <si>
    <t>60106 - APOYOS CONACYT</t>
  </si>
  <si>
    <t>CAT. PAT.DR. ZHENRUY YU</t>
  </si>
  <si>
    <t>CAT. PAT.DR. OLIVIER J.MICHAEL POT</t>
  </si>
  <si>
    <t>RET.INV.DR. ESCUDERO URIBE APOLO Z</t>
  </si>
  <si>
    <t>REP.INV.DR.POMARES HDEZ.SAUL E.</t>
  </si>
  <si>
    <t>REP.INV.DRA.REYES BETANZO CLAUDIA</t>
  </si>
  <si>
    <t>REP.INV.DR.HERNANDEZ MTZ. LUIS</t>
  </si>
  <si>
    <t>REP.INV.DRA.MUÑOZ MELENDEZ ANGELICA</t>
  </si>
  <si>
    <t>PY.INT.J200.842 PROG.ECOS.DR.MUJIC</t>
  </si>
  <si>
    <t>PY.INV.DR. LOPEZ OMAR: J32098E</t>
  </si>
  <si>
    <t>PY.INV.DR. MALIK OLEKSANDR: 33812-</t>
  </si>
  <si>
    <t>PY.INV.DR. MURPHY A.ROBERTO: 33810</t>
  </si>
  <si>
    <t>PY.INV.DR. GRANADOS SALOMON: J3455</t>
  </si>
  <si>
    <t>PY.INV.DR. ARRIZON PEÑA VICTOR: 33</t>
  </si>
  <si>
    <t>PY.INV.DR. PUERARI IVANIO: 36078-E</t>
  </si>
  <si>
    <t>PY.INV.DR. REYES CARLOS: 37914-A</t>
  </si>
  <si>
    <t>PY.INV.DRA.RODRIGUEZ MONICA: J3768</t>
  </si>
  <si>
    <t>PY.INV.DR. HECTOR MOY/SANCHEZ: 361</t>
  </si>
  <si>
    <t>PY.INV.DR. SILICH SERGY: 36132-E</t>
  </si>
  <si>
    <t>PY.INV.DR. CARRASCO ARIEL: 38436-A</t>
  </si>
  <si>
    <t>PY.INV.DR. GARCIA MIGUEL: 139267-A</t>
  </si>
  <si>
    <t>PY.INV. DRA.ATETZAGA M.ITZIAR: 395</t>
  </si>
  <si>
    <t>PY.INV. DR. CHAVUSHYAN VAHRAM 3956</t>
  </si>
  <si>
    <t>PY.INV. DR. HUGHES DAVID: 39953</t>
  </si>
  <si>
    <t>PY.INV. DR. KOUZINE EVGUENI 39553Y</t>
  </si>
  <si>
    <t>PY.INV. DR. LOPEZ LOPEZ AURELIO 39</t>
  </si>
  <si>
    <t>PY.INV. DR. MAYYA DIVAKARA 39714F</t>
  </si>
  <si>
    <t>PY.INV. DR. PLIONIS EMMANUIL 39679</t>
  </si>
  <si>
    <t>PY.INV. DR. VALDES P. J. RAMON: 41</t>
  </si>
  <si>
    <t>PY.INT. INTERACCION H-M DR.VILLASE</t>
  </si>
  <si>
    <t>PY.INV.DR.TLELO CUAUTLE 4032/A-1</t>
  </si>
  <si>
    <t>PY.DASJ-I100/486-03 GTM DR.G.</t>
  </si>
  <si>
    <t>PY.INV.DR.DE LA HIDALGA CO1-39886</t>
  </si>
  <si>
    <t>PY.INV.DR.ARIAS ESTRADA CO1-42312</t>
  </si>
  <si>
    <t>PY.INV.DR. VAZQUEZ M. SERGIO: 4008</t>
  </si>
  <si>
    <t>PY.INV. DR. CARRASCO B.LUIS: G2858</t>
  </si>
  <si>
    <t>PY.INV. DR. FUENTES CH.OLAC: J3187</t>
  </si>
  <si>
    <t>PY.INV.DR. LINARES A.MONICO: 34557</t>
  </si>
  <si>
    <t>PY.INV.DR. DEL RIO A.SOLEDAD: 3302</t>
  </si>
  <si>
    <t>PY.INV.DR. CARDONA N.OCTAVIO: 3456</t>
  </si>
  <si>
    <t>PY.INV.DR. S.DE LA LLAVE JULIAN: J</t>
  </si>
  <si>
    <t>PY.INV.DR. TEPICHIN R.EDUARDO: 330</t>
  </si>
  <si>
    <t>PY.INV.DR. AGUILAR FELIX: 37654-E</t>
  </si>
  <si>
    <t>PY.INV.DR. CHAVEZ D. MIGUEL: 36547</t>
  </si>
  <si>
    <t>PY.INV.DR. DIAZ SANCHEZ A.: 37470-</t>
  </si>
  <si>
    <t>PY.INV.DR. ESPINOSA GUILLERMO: 371</t>
  </si>
  <si>
    <t>PY.INV.DR. IBARRA BALDEMAR: J36135</t>
  </si>
  <si>
    <t>PY.INV.DR. MTZ.TRINIDAD FCO.:J3870</t>
  </si>
  <si>
    <t>PY.INV.DR CORNEJO R. ALEJANDRO: 39</t>
  </si>
  <si>
    <t>PY.INVDR. HALEVI SAR PETER: 41195F</t>
  </si>
  <si>
    <t>PY.INV.DR. KORNEEV NIKOLAI: 39681F</t>
  </si>
  <si>
    <t>PY.INV.DR. MUÑOZ A. JAIME: J40022Y</t>
  </si>
  <si>
    <t>PY.INV.DR. SHERVAKOV ALEXANDRE: 41</t>
  </si>
  <si>
    <t>PY.INV.DR. TERLEVICH ROBERTO: 4001</t>
  </si>
  <si>
    <t>PY.INV.DR. ANDREY KOSAREV: 42367</t>
  </si>
  <si>
    <t>PY.INT,J200.484/2004 KOUZINE</t>
  </si>
  <si>
    <t>PY.INT.J200.370/2004 KOUZINE</t>
  </si>
  <si>
    <t>PY.INT.J200.619/2004 GUICHARD</t>
  </si>
  <si>
    <t>PY.INT.J200.529/2004 DR. MUJICA</t>
  </si>
  <si>
    <t>PY.INT.J200.273/2004 DR. ARIAS</t>
  </si>
  <si>
    <t>PY. INT. J200.661/2004 DR.A.CARRASCO</t>
  </si>
  <si>
    <t>PY.INT.J200.844 DRA.RECILLAS</t>
  </si>
  <si>
    <t>PY.INT.J200.838/2004 DR. MUJICA</t>
  </si>
  <si>
    <t>REP. INV. MEX. 7088/040044 DR.MUÑOZ</t>
  </si>
  <si>
    <t>REP.INV.MEX.7087/040045 DR.RAMIREZ</t>
  </si>
  <si>
    <t>REP.INV.MEX.7243/040085 DR.LUNA</t>
  </si>
  <si>
    <t>REP.INV.MEX.DRA. JOSEFINA CASTAÑEDA</t>
  </si>
  <si>
    <t>REP.INV.MEX.DR.CELSO VELASQUEZ O.</t>
  </si>
  <si>
    <t>REP.INV.MEX.DR.CESAR TORRES HUITZIL</t>
  </si>
  <si>
    <t>PY.INT.J100.83/2006 DR. ARIAS MEX-QUEBEC</t>
  </si>
  <si>
    <t>PY.INT. UC-MEXUS DR. SUCAR S.</t>
  </si>
  <si>
    <t>60110 - FDO. SECTORIAL DE INVEST. P/EDUCAC.</t>
  </si>
  <si>
    <t>PY.42588 FSIE. DR. SARMIENTO REYES ARTURO</t>
  </si>
  <si>
    <t>PY.42609 FSIE. DR.VERA VILLAMIZAR NELSON</t>
  </si>
  <si>
    <t>PY.42577 DR.MENDOZA TORRES EDUARDO</t>
  </si>
  <si>
    <t>PY.42800 FSIE. DR. YU FAN ZHENRUI</t>
  </si>
  <si>
    <t>PY.42822 FSIE. DR. TEPICHIN RODRIGUEZ EDUARDO</t>
  </si>
  <si>
    <t>PY.42906 FSIE. DRA.REYES BETANZO CLAUDIA</t>
  </si>
  <si>
    <t>PY.43990 FSIE. DR.MONTES Y GOMEZ MANUEL</t>
  </si>
  <si>
    <t>PY.44376 FSIE. TOVMASYAN HRANT</t>
  </si>
  <si>
    <t>PY.44676 FSIE. DR. WALL HARE WILLIAN FRANK</t>
  </si>
  <si>
    <t>PY.45258 FSIE. DR.FUENTES CHAVEZ LUIS OLAC</t>
  </si>
  <si>
    <t>PY.45667 FSIE. DR.SANCHEZ MONDRAGON JOSE JAVIER</t>
  </si>
  <si>
    <t>PY.42611 FSIE. DR. BRINK ELIAS</t>
  </si>
  <si>
    <t>PY. C01-40/A-1 DR. VILLASEÑOR PINEDA</t>
  </si>
  <si>
    <t>PY.45732/A-1DR.GARCIA ANDRADE SEP/04</t>
  </si>
  <si>
    <t>PY.45947/A-1DR.PUERARI IVANIO SEP/04</t>
  </si>
  <si>
    <t>PY.46753/A-1DR.REYES GARCIA SEP/04</t>
  </si>
  <si>
    <t>PY.47169/A-1DR.KOUZINE EVGUENI SEP/04</t>
  </si>
  <si>
    <t>PY.47534/A-1DR.SILICH SERGIY SEP/04</t>
  </si>
  <si>
    <t>PY.47904/A-1DR.BERTONE EMANUELE SEP/04</t>
  </si>
  <si>
    <t>PY.47853/A-1 DR.MARIANO ACEVES M.SEP/04</t>
  </si>
  <si>
    <t>PY.45948/A-1 DR. RAUL MUJICA G. SEP/04</t>
  </si>
  <si>
    <t>PY.45952/A-1 DR. OMAR LOPEZ C. SEP/04</t>
  </si>
  <si>
    <t>PY.45950/A-1 DR. RUBEN RAMOS G. SEP/04</t>
  </si>
  <si>
    <t>PY.47325/A-1 DR. GABRIEL MARTINEZ SEP/04</t>
  </si>
  <si>
    <t>PY. 47141/A-1 DR. EDMUNDO GUTIERREZ SEP/04</t>
  </si>
  <si>
    <t>PY.45740/A-1 DRA. ELSA RECILLAS SEP/04</t>
  </si>
  <si>
    <t>PY.DR.SUCAR SEP-2004-C01-47968</t>
  </si>
  <si>
    <t>60114 - MARINA-CONACYT</t>
  </si>
  <si>
    <t>DR.ALTAMIRANO 2002-CO1-4580/B1</t>
  </si>
  <si>
    <t>DR.ALTAMIRANO 2002-CO1-4638/B1</t>
  </si>
  <si>
    <t>ING.FCO.BARBOSA 2002-CO1-0395/B1</t>
  </si>
  <si>
    <t>DR.ARIAS MIGUEL 2002-CO1-4579/B1</t>
  </si>
  <si>
    <t>DR.ARIAS MIGUEL 2002-CO1-4636/B1</t>
  </si>
  <si>
    <t>DR.CUMPLIDO 2002-CO1-4637/B1</t>
  </si>
  <si>
    <t>DR.POMARES 8727 MOD.ORD-29-02</t>
  </si>
  <si>
    <t>ING.FCO.BARBOSA 2003-CO2-12271/B1</t>
  </si>
  <si>
    <t>DR.ARIAS MIGUEL 2003-CO2-11896/B1</t>
  </si>
  <si>
    <t>DR.ALTAMIRANO 2003-CO2-11650/B1</t>
  </si>
  <si>
    <t>DR.ALTAMIRANO 2003-C-02-11898</t>
  </si>
  <si>
    <t>ING.FCO.BARBOSA 2003-C-02-12064</t>
  </si>
  <si>
    <t>ING.OROZCO BENITO 2003-C-02-12067</t>
  </si>
  <si>
    <t>ING.FCO.BARBOSA 2004-C03-2/B-1</t>
  </si>
  <si>
    <t>ING.BARBOSA 2004-C03-1</t>
  </si>
  <si>
    <t>PY.PUE-2004-CO2-4 CECYT/ DR.ACEVES</t>
  </si>
  <si>
    <t>PY.2005-C04-21 DR. ALTAMIRANO</t>
  </si>
  <si>
    <t>PY. 2005-C04-24 DR. ALTAMIRANO</t>
  </si>
  <si>
    <t>PY. 2005-C04-16 DR. ARIAS</t>
  </si>
  <si>
    <t>60115 - FONDO SECTORIAL DE INV. SALUD Y SEG. SOC</t>
  </si>
  <si>
    <t>PY. SALUD-2005-01-14012 DR. CARLOS TREVIÑO</t>
  </si>
  <si>
    <t>PY. SALUD-2005-01-14265 DR. APOLO ZEUS ESCUDERO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</si>
  <si>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</si>
  <si>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</si>
  <si>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</si>
  <si>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</si>
  <si>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PY.INV.I100/298/04 C-437-04 GTM</t>
  </si>
  <si>
    <t>INVERSION</t>
  </si>
  <si>
    <t>PY.GTM FON-INST-212-06(DAAJ I0110/137/06)</t>
  </si>
  <si>
    <t>PY.INT.J110.167/2006 DR. CORONA</t>
  </si>
  <si>
    <t>PY.INT.J110.305/2006 DRA. RECILLAS</t>
  </si>
  <si>
    <t>PY.INV.SEP.2005-48454 DR. KOSAREV</t>
  </si>
  <si>
    <t>PY.INV.SEP.2005-50395 DR. CORNEJO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</si>
</sst>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7" fontId="2" fillId="0" borderId="1" xfId="0" applyNumberFormat="1" applyFont="1" applyBorder="1" applyAlignment="1">
      <alignment vertical="center"/>
    </xf>
    <xf numFmtId="7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7" fontId="1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7" fontId="2" fillId="0" borderId="0" xfId="0" applyNumberFormat="1" applyFont="1" applyAlignment="1">
      <alignment vertical="center"/>
    </xf>
    <xf numFmtId="7" fontId="1" fillId="4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tabSelected="1" workbookViewId="0" topLeftCell="A1">
      <pane xSplit="3" ySplit="1" topLeftCell="K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S26" sqref="S26"/>
    </sheetView>
  </sheetViews>
  <sheetFormatPr defaultColWidth="11.421875" defaultRowHeight="13.5" customHeight="1" outlineLevelRow="2"/>
  <cols>
    <col min="1" max="1" width="0.13671875" style="1" customWidth="1"/>
    <col min="2" max="2" width="12.7109375" style="1" customWidth="1"/>
    <col min="3" max="3" width="42.140625" style="1" bestFit="1" customWidth="1"/>
    <col min="4" max="7" width="11.7109375" style="1" customWidth="1"/>
    <col min="8" max="8" width="12.7109375" style="1" customWidth="1"/>
    <col min="9" max="9" width="11.7109375" style="1" customWidth="1"/>
    <col min="10" max="12" width="11.140625" style="1" customWidth="1"/>
    <col min="13" max="13" width="11.7109375" style="1" customWidth="1"/>
    <col min="14" max="15" width="12.7109375" style="1" customWidth="1"/>
    <col min="16" max="16" width="11.57421875" style="1" hidden="1" customWidth="1"/>
    <col min="17" max="16384" width="11.421875" style="1" customWidth="1"/>
  </cols>
  <sheetData>
    <row r="1" spans="1:16" ht="31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6" ht="13.5" customHeight="1" outlineLevel="2">
      <c r="A2" s="2" t="s">
        <v>17</v>
      </c>
      <c r="B2" s="2">
        <v>6010670006</v>
      </c>
      <c r="C2" s="2" t="s">
        <v>18</v>
      </c>
      <c r="D2" s="3">
        <v>0</v>
      </c>
      <c r="E2" s="3">
        <v>0</v>
      </c>
      <c r="F2" s="3">
        <v>0</v>
      </c>
      <c r="G2" s="3">
        <v>0</v>
      </c>
      <c r="H2" s="3">
        <f>D2+E2+F2+G2</f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f>M2+L2+K2+J2+I2</f>
        <v>0</v>
      </c>
      <c r="O2" s="3">
        <f>H2+N2</f>
        <v>0</v>
      </c>
      <c r="P2" s="2">
        <v>123</v>
      </c>
    </row>
    <row r="3" spans="1:16" ht="13.5" customHeight="1" outlineLevel="2">
      <c r="A3" s="2" t="s">
        <v>17</v>
      </c>
      <c r="B3" s="2">
        <v>6010670007</v>
      </c>
      <c r="C3" s="2" t="s">
        <v>19</v>
      </c>
      <c r="D3" s="3">
        <v>0</v>
      </c>
      <c r="E3" s="3">
        <v>0</v>
      </c>
      <c r="F3" s="3">
        <v>0</v>
      </c>
      <c r="G3" s="3">
        <v>0</v>
      </c>
      <c r="H3" s="3">
        <f aca="true" t="shared" si="0" ref="H3:H67">D3+E3+F3+G3</f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f aca="true" t="shared" si="1" ref="N3:N67">M3+L3+K3+J3+I3</f>
        <v>0</v>
      </c>
      <c r="O3" s="3">
        <f aca="true" t="shared" si="2" ref="O3:O67">H3+N3</f>
        <v>0</v>
      </c>
      <c r="P3" s="2">
        <v>132</v>
      </c>
    </row>
    <row r="4" spans="1:16" ht="13.5" customHeight="1" outlineLevel="2">
      <c r="A4" s="2" t="s">
        <v>17</v>
      </c>
      <c r="B4" s="2">
        <v>6010670021</v>
      </c>
      <c r="C4" s="2" t="s">
        <v>20</v>
      </c>
      <c r="D4" s="3">
        <v>0</v>
      </c>
      <c r="E4" s="3">
        <v>0</v>
      </c>
      <c r="F4" s="3">
        <v>0</v>
      </c>
      <c r="G4" s="3">
        <v>0</v>
      </c>
      <c r="H4" s="3">
        <f t="shared" si="0"/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f t="shared" si="1"/>
        <v>0</v>
      </c>
      <c r="O4" s="3">
        <f t="shared" si="2"/>
        <v>0</v>
      </c>
      <c r="P4" s="2">
        <v>136</v>
      </c>
    </row>
    <row r="5" spans="1:16" ht="13.5" customHeight="1" outlineLevel="2">
      <c r="A5" s="2" t="s">
        <v>17</v>
      </c>
      <c r="B5" s="2">
        <v>6010670022</v>
      </c>
      <c r="C5" s="2" t="s">
        <v>21</v>
      </c>
      <c r="D5" s="3">
        <v>0</v>
      </c>
      <c r="E5" s="3">
        <v>0</v>
      </c>
      <c r="F5" s="3">
        <v>0</v>
      </c>
      <c r="G5" s="3">
        <v>0</v>
      </c>
      <c r="H5" s="3">
        <f t="shared" si="0"/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f t="shared" si="1"/>
        <v>0</v>
      </c>
      <c r="O5" s="3">
        <f t="shared" si="2"/>
        <v>0</v>
      </c>
      <c r="P5" s="2">
        <v>157</v>
      </c>
    </row>
    <row r="6" spans="1:16" ht="13.5" customHeight="1" outlineLevel="2">
      <c r="A6" s="2" t="s">
        <v>17</v>
      </c>
      <c r="B6" s="2">
        <v>6010670023</v>
      </c>
      <c r="C6" s="2" t="s">
        <v>22</v>
      </c>
      <c r="D6" s="3">
        <v>0</v>
      </c>
      <c r="E6" s="3">
        <v>0</v>
      </c>
      <c r="F6" s="3">
        <v>0</v>
      </c>
      <c r="G6" s="3">
        <v>0</v>
      </c>
      <c r="H6" s="3">
        <f t="shared" si="0"/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 t="shared" si="1"/>
        <v>0</v>
      </c>
      <c r="O6" s="3">
        <f t="shared" si="2"/>
        <v>0</v>
      </c>
      <c r="P6" s="2">
        <v>168</v>
      </c>
    </row>
    <row r="7" spans="1:16" ht="13.5" customHeight="1" outlineLevel="2">
      <c r="A7" s="2" t="s">
        <v>17</v>
      </c>
      <c r="B7" s="2">
        <v>6010670023</v>
      </c>
      <c r="C7" s="2" t="s">
        <v>22</v>
      </c>
      <c r="D7" s="3">
        <v>0</v>
      </c>
      <c r="E7" s="3">
        <v>0</v>
      </c>
      <c r="F7" s="3">
        <v>0</v>
      </c>
      <c r="G7" s="3">
        <v>0</v>
      </c>
      <c r="H7" s="3">
        <f t="shared" si="0"/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 t="shared" si="1"/>
        <v>0</v>
      </c>
      <c r="O7" s="3">
        <f t="shared" si="2"/>
        <v>0</v>
      </c>
      <c r="P7" s="2">
        <v>172</v>
      </c>
    </row>
    <row r="8" spans="1:16" ht="13.5" customHeight="1" outlineLevel="2">
      <c r="A8" s="2" t="s">
        <v>17</v>
      </c>
      <c r="B8" s="2">
        <v>6010670024</v>
      </c>
      <c r="C8" s="2" t="s">
        <v>23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 t="shared" si="1"/>
        <v>0</v>
      </c>
      <c r="O8" s="3">
        <f t="shared" si="2"/>
        <v>0</v>
      </c>
      <c r="P8" s="2">
        <v>183</v>
      </c>
    </row>
    <row r="9" spans="1:16" ht="13.5" customHeight="1" outlineLevel="2">
      <c r="A9" s="2" t="s">
        <v>17</v>
      </c>
      <c r="B9" s="2">
        <v>6010670025</v>
      </c>
      <c r="C9" s="2" t="s">
        <v>24</v>
      </c>
      <c r="D9" s="3">
        <v>0</v>
      </c>
      <c r="E9" s="3">
        <v>0</v>
      </c>
      <c r="F9" s="3">
        <v>0</v>
      </c>
      <c r="G9" s="3">
        <v>0</v>
      </c>
      <c r="H9" s="3">
        <f t="shared" si="0"/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t="shared" si="1"/>
        <v>0</v>
      </c>
      <c r="O9" s="3">
        <f t="shared" si="2"/>
        <v>0</v>
      </c>
      <c r="P9" s="2">
        <v>184</v>
      </c>
    </row>
    <row r="10" spans="1:16" ht="13.5" customHeight="1" outlineLevel="2">
      <c r="A10" s="2" t="s">
        <v>17</v>
      </c>
      <c r="B10" s="2">
        <v>6010670026</v>
      </c>
      <c r="C10" s="2" t="s">
        <v>25</v>
      </c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1"/>
        <v>0</v>
      </c>
      <c r="O10" s="3">
        <f t="shared" si="2"/>
        <v>0</v>
      </c>
      <c r="P10" s="2">
        <v>176</v>
      </c>
    </row>
    <row r="11" spans="1:16" ht="13.5" customHeight="1" outlineLevel="2">
      <c r="A11" s="2" t="s">
        <v>17</v>
      </c>
      <c r="B11" s="2">
        <v>6010670034</v>
      </c>
      <c r="C11" s="2" t="s">
        <v>26</v>
      </c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 t="shared" si="1"/>
        <v>0</v>
      </c>
      <c r="O11" s="3">
        <f t="shared" si="2"/>
        <v>0</v>
      </c>
      <c r="P11" s="2">
        <v>28</v>
      </c>
    </row>
    <row r="12" spans="1:16" ht="13.5" customHeight="1" outlineLevel="2">
      <c r="A12" s="2" t="s">
        <v>17</v>
      </c>
      <c r="B12" s="2">
        <v>6010670037</v>
      </c>
      <c r="C12" s="2" t="s">
        <v>27</v>
      </c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f t="shared" si="1"/>
        <v>0</v>
      </c>
      <c r="O12" s="3">
        <f t="shared" si="2"/>
        <v>0</v>
      </c>
      <c r="P12" s="2">
        <v>35</v>
      </c>
    </row>
    <row r="13" spans="1:16" ht="13.5" customHeight="1" outlineLevel="2">
      <c r="A13" s="2" t="s">
        <v>17</v>
      </c>
      <c r="B13" s="2">
        <v>6010670038</v>
      </c>
      <c r="C13" s="2" t="s">
        <v>28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f t="shared" si="1"/>
        <v>0</v>
      </c>
      <c r="O13" s="3">
        <f t="shared" si="2"/>
        <v>0</v>
      </c>
      <c r="P13" s="2">
        <v>36</v>
      </c>
    </row>
    <row r="14" spans="1:16" ht="13.5" customHeight="1" outlineLevel="2">
      <c r="A14" s="2" t="s">
        <v>17</v>
      </c>
      <c r="B14" s="2">
        <v>6010670041</v>
      </c>
      <c r="C14" s="2" t="s">
        <v>29</v>
      </c>
      <c r="D14" s="3">
        <v>0</v>
      </c>
      <c r="E14" s="3">
        <v>0</v>
      </c>
      <c r="F14" s="3">
        <v>0</v>
      </c>
      <c r="G14" s="3">
        <v>0</v>
      </c>
      <c r="H14" s="3">
        <f t="shared" si="0"/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si="1"/>
        <v>0</v>
      </c>
      <c r="O14" s="3">
        <f t="shared" si="2"/>
        <v>0</v>
      </c>
      <c r="P14" s="2">
        <v>39</v>
      </c>
    </row>
    <row r="15" spans="1:16" ht="13.5" customHeight="1" outlineLevel="2">
      <c r="A15" s="2" t="s">
        <v>17</v>
      </c>
      <c r="B15" s="2">
        <v>6010670042</v>
      </c>
      <c r="C15" s="2" t="s">
        <v>30</v>
      </c>
      <c r="D15" s="3">
        <v>0</v>
      </c>
      <c r="E15" s="3">
        <v>0</v>
      </c>
      <c r="F15" s="3">
        <v>0</v>
      </c>
      <c r="G15" s="3">
        <v>0</v>
      </c>
      <c r="H15" s="3">
        <f t="shared" si="0"/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1"/>
        <v>0</v>
      </c>
      <c r="O15" s="3">
        <f t="shared" si="2"/>
        <v>0</v>
      </c>
      <c r="P15" s="2">
        <v>40</v>
      </c>
    </row>
    <row r="16" spans="1:16" ht="13.5" customHeight="1" outlineLevel="2">
      <c r="A16" s="2" t="s">
        <v>17</v>
      </c>
      <c r="B16" s="2">
        <v>6010670045</v>
      </c>
      <c r="C16" s="2" t="s">
        <v>31</v>
      </c>
      <c r="D16" s="3">
        <v>0</v>
      </c>
      <c r="E16" s="3">
        <v>0</v>
      </c>
      <c r="F16" s="3">
        <v>0</v>
      </c>
      <c r="G16" s="3">
        <v>0</v>
      </c>
      <c r="H16" s="3">
        <f t="shared" si="0"/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1"/>
        <v>0</v>
      </c>
      <c r="O16" s="3">
        <f t="shared" si="2"/>
        <v>0</v>
      </c>
      <c r="P16" s="2">
        <v>110</v>
      </c>
    </row>
    <row r="17" spans="1:16" ht="13.5" customHeight="1" outlineLevel="2">
      <c r="A17" s="2" t="s">
        <v>17</v>
      </c>
      <c r="B17" s="2">
        <v>6010670046</v>
      </c>
      <c r="C17" s="2" t="s">
        <v>32</v>
      </c>
      <c r="D17" s="3">
        <v>0</v>
      </c>
      <c r="E17" s="3">
        <v>0</v>
      </c>
      <c r="F17" s="3">
        <v>0</v>
      </c>
      <c r="G17" s="3">
        <v>0</v>
      </c>
      <c r="H17" s="3">
        <f t="shared" si="0"/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1"/>
        <v>0</v>
      </c>
      <c r="O17" s="3">
        <f t="shared" si="2"/>
        <v>0</v>
      </c>
      <c r="P17" s="2">
        <v>111</v>
      </c>
    </row>
    <row r="18" spans="1:16" ht="13.5" customHeight="1" outlineLevel="2">
      <c r="A18" s="2" t="s">
        <v>17</v>
      </c>
      <c r="B18" s="2">
        <v>6010670047</v>
      </c>
      <c r="C18" s="2" t="s">
        <v>33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1"/>
        <v>0</v>
      </c>
      <c r="O18" s="3">
        <f t="shared" si="2"/>
        <v>0</v>
      </c>
      <c r="P18" s="2">
        <v>112</v>
      </c>
    </row>
    <row r="19" spans="1:16" ht="13.5" customHeight="1" outlineLevel="2">
      <c r="A19" s="2" t="s">
        <v>17</v>
      </c>
      <c r="B19" s="2">
        <v>6010670048</v>
      </c>
      <c r="C19" s="2" t="s">
        <v>34</v>
      </c>
      <c r="D19" s="3">
        <v>0</v>
      </c>
      <c r="E19" s="3">
        <v>0</v>
      </c>
      <c r="F19" s="3">
        <v>0</v>
      </c>
      <c r="G19" s="3">
        <v>0</v>
      </c>
      <c r="H19" s="3">
        <f t="shared" si="0"/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1"/>
        <v>0</v>
      </c>
      <c r="O19" s="3">
        <f t="shared" si="2"/>
        <v>0</v>
      </c>
      <c r="P19" s="2">
        <v>113</v>
      </c>
    </row>
    <row r="20" spans="1:16" ht="13.5" customHeight="1" outlineLevel="2">
      <c r="A20" s="2" t="s">
        <v>17</v>
      </c>
      <c r="B20" s="2">
        <v>6010670049</v>
      </c>
      <c r="C20" s="2" t="s">
        <v>35</v>
      </c>
      <c r="D20" s="3">
        <v>0</v>
      </c>
      <c r="E20" s="3">
        <v>0</v>
      </c>
      <c r="F20" s="3">
        <v>0</v>
      </c>
      <c r="G20" s="3">
        <v>0</v>
      </c>
      <c r="H20" s="3">
        <f t="shared" si="0"/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1"/>
        <v>0</v>
      </c>
      <c r="O20" s="3">
        <f t="shared" si="2"/>
        <v>0</v>
      </c>
      <c r="P20" s="2">
        <v>114</v>
      </c>
    </row>
    <row r="21" spans="1:16" ht="13.5" customHeight="1" outlineLevel="2">
      <c r="A21" s="2" t="s">
        <v>17</v>
      </c>
      <c r="B21" s="2">
        <v>6010670050</v>
      </c>
      <c r="C21" s="2" t="s">
        <v>36</v>
      </c>
      <c r="D21" s="3">
        <v>0</v>
      </c>
      <c r="E21" s="3">
        <v>0</v>
      </c>
      <c r="F21" s="3">
        <v>0</v>
      </c>
      <c r="G21" s="3">
        <v>0</v>
      </c>
      <c r="H21" s="3">
        <f t="shared" si="0"/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1"/>
        <v>0</v>
      </c>
      <c r="O21" s="3">
        <f t="shared" si="2"/>
        <v>0</v>
      </c>
      <c r="P21" s="2">
        <v>116</v>
      </c>
    </row>
    <row r="22" spans="1:16" ht="13.5" customHeight="1" outlineLevel="2">
      <c r="A22" s="2" t="s">
        <v>17</v>
      </c>
      <c r="B22" s="2">
        <v>6010670052</v>
      </c>
      <c r="C22" s="2" t="s">
        <v>37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1"/>
        <v>0</v>
      </c>
      <c r="O22" s="3">
        <f t="shared" si="2"/>
        <v>0</v>
      </c>
      <c r="P22" s="2">
        <v>118</v>
      </c>
    </row>
    <row r="23" spans="1:16" ht="13.5" customHeight="1" outlineLevel="2">
      <c r="A23" s="2" t="s">
        <v>17</v>
      </c>
      <c r="B23" s="2">
        <v>6010670055</v>
      </c>
      <c r="C23" s="2" t="s">
        <v>38</v>
      </c>
      <c r="D23" s="3">
        <v>0</v>
      </c>
      <c r="E23" s="3">
        <v>27806</v>
      </c>
      <c r="F23" s="3">
        <f>105388.75</f>
        <v>105388.75</v>
      </c>
      <c r="G23" s="3">
        <v>0</v>
      </c>
      <c r="H23" s="3">
        <f t="shared" si="0"/>
        <v>133194.75</v>
      </c>
      <c r="I23" s="3">
        <v>0</v>
      </c>
      <c r="J23" s="3">
        <v>60273.8</v>
      </c>
      <c r="K23" s="3">
        <v>0</v>
      </c>
      <c r="L23" s="3">
        <v>0</v>
      </c>
      <c r="M23" s="3">
        <v>0</v>
      </c>
      <c r="N23" s="3">
        <f t="shared" si="1"/>
        <v>60273.8</v>
      </c>
      <c r="O23" s="3">
        <f t="shared" si="2"/>
        <v>193468.55</v>
      </c>
      <c r="P23" s="2">
        <v>137</v>
      </c>
    </row>
    <row r="24" spans="1:16" ht="13.5" customHeight="1" outlineLevel="2">
      <c r="A24" s="2" t="s">
        <v>17</v>
      </c>
      <c r="B24" s="2">
        <v>6010670056</v>
      </c>
      <c r="C24" s="2" t="s">
        <v>39</v>
      </c>
      <c r="D24" s="3">
        <v>0</v>
      </c>
      <c r="E24" s="3">
        <v>1751.02</v>
      </c>
      <c r="F24" s="3">
        <v>16014.67</v>
      </c>
      <c r="G24" s="3">
        <v>5000</v>
      </c>
      <c r="H24" s="3">
        <f t="shared" si="0"/>
        <v>22765.69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f t="shared" si="1"/>
        <v>0</v>
      </c>
      <c r="O24" s="3">
        <f t="shared" si="2"/>
        <v>22765.69</v>
      </c>
      <c r="P24" s="2">
        <v>138</v>
      </c>
    </row>
    <row r="25" spans="1:16" ht="13.5" customHeight="1" outlineLevel="2">
      <c r="A25" s="2" t="s">
        <v>17</v>
      </c>
      <c r="B25" s="2">
        <v>6010670057</v>
      </c>
      <c r="C25" s="2" t="s">
        <v>40</v>
      </c>
      <c r="D25" s="3">
        <v>0</v>
      </c>
      <c r="E25" s="3">
        <v>0</v>
      </c>
      <c r="F25" s="3">
        <f>51723.64+0.6</f>
        <v>51724.24</v>
      </c>
      <c r="G25" s="3">
        <v>52560</v>
      </c>
      <c r="H25" s="3">
        <f t="shared" si="0"/>
        <v>104284.23999999999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si="1"/>
        <v>0</v>
      </c>
      <c r="O25" s="3">
        <f t="shared" si="2"/>
        <v>104284.23999999999</v>
      </c>
      <c r="P25" s="2">
        <v>141</v>
      </c>
    </row>
    <row r="26" spans="1:16" ht="13.5" customHeight="1" outlineLevel="2">
      <c r="A26" s="2" t="s">
        <v>17</v>
      </c>
      <c r="B26" s="2">
        <v>6010670058</v>
      </c>
      <c r="C26" s="2" t="s">
        <v>41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 t="shared" si="1"/>
        <v>0</v>
      </c>
      <c r="O26" s="3">
        <f t="shared" si="2"/>
        <v>0</v>
      </c>
      <c r="P26" s="2">
        <v>143</v>
      </c>
    </row>
    <row r="27" spans="1:16" ht="13.5" customHeight="1" outlineLevel="2">
      <c r="A27" s="2" t="s">
        <v>17</v>
      </c>
      <c r="B27" s="2">
        <v>6010670059</v>
      </c>
      <c r="C27" s="2" t="s">
        <v>42</v>
      </c>
      <c r="D27" s="3">
        <v>0</v>
      </c>
      <c r="E27" s="3">
        <f>23550.9-1347.72</f>
        <v>22203.18</v>
      </c>
      <c r="F27" s="3">
        <f>249079.31+16275.74+2499.99</f>
        <v>267855.04</v>
      </c>
      <c r="G27" s="3">
        <v>0</v>
      </c>
      <c r="H27" s="3">
        <f t="shared" si="0"/>
        <v>290058.22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f t="shared" si="1"/>
        <v>0</v>
      </c>
      <c r="O27" s="3">
        <f t="shared" si="2"/>
        <v>290058.22</v>
      </c>
      <c r="P27" s="2">
        <v>144</v>
      </c>
    </row>
    <row r="28" spans="1:16" ht="13.5" customHeight="1" outlineLevel="2">
      <c r="A28" s="2" t="s">
        <v>17</v>
      </c>
      <c r="B28" s="2">
        <v>6010670060</v>
      </c>
      <c r="C28" s="2" t="s">
        <v>43</v>
      </c>
      <c r="D28" s="3">
        <v>0</v>
      </c>
      <c r="E28" s="3">
        <f>5422.3</f>
        <v>5422.3</v>
      </c>
      <c r="F28" s="3">
        <v>26176.68</v>
      </c>
      <c r="G28" s="3">
        <v>52561.2</v>
      </c>
      <c r="H28" s="3">
        <f t="shared" si="0"/>
        <v>84160.18</v>
      </c>
      <c r="I28" s="3">
        <v>0</v>
      </c>
      <c r="J28" s="3">
        <v>15000</v>
      </c>
      <c r="K28" s="3">
        <v>0</v>
      </c>
      <c r="L28" s="3">
        <v>0</v>
      </c>
      <c r="M28" s="3">
        <v>0</v>
      </c>
      <c r="N28" s="3">
        <f t="shared" si="1"/>
        <v>15000</v>
      </c>
      <c r="O28" s="3">
        <f t="shared" si="2"/>
        <v>99160.18</v>
      </c>
      <c r="P28" s="2">
        <v>145</v>
      </c>
    </row>
    <row r="29" spans="1:16" ht="13.5" customHeight="1" outlineLevel="2">
      <c r="A29" s="2" t="s">
        <v>17</v>
      </c>
      <c r="B29" s="2">
        <v>6010670061</v>
      </c>
      <c r="C29" s="2" t="s">
        <v>44</v>
      </c>
      <c r="D29" s="3">
        <v>0</v>
      </c>
      <c r="E29" s="3">
        <v>0</v>
      </c>
      <c r="F29" s="3">
        <v>33853.98</v>
      </c>
      <c r="G29" s="3">
        <v>0</v>
      </c>
      <c r="H29" s="3">
        <f t="shared" si="0"/>
        <v>33853.98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1"/>
        <v>0</v>
      </c>
      <c r="O29" s="3">
        <f t="shared" si="2"/>
        <v>33853.98</v>
      </c>
      <c r="P29" s="2">
        <v>147</v>
      </c>
    </row>
    <row r="30" spans="1:16" ht="13.5" customHeight="1" outlineLevel="2">
      <c r="A30" s="2" t="s">
        <v>17</v>
      </c>
      <c r="B30" s="2">
        <v>6010670062</v>
      </c>
      <c r="C30" s="2" t="s">
        <v>45</v>
      </c>
      <c r="D30" s="3">
        <v>0</v>
      </c>
      <c r="E30" s="3">
        <v>4874.16</v>
      </c>
      <c r="F30" s="3">
        <f>26481.79+0.01</f>
        <v>26481.8</v>
      </c>
      <c r="G30" s="3">
        <v>22800</v>
      </c>
      <c r="H30" s="3">
        <f t="shared" si="0"/>
        <v>54155.96</v>
      </c>
      <c r="I30" s="3">
        <v>0</v>
      </c>
      <c r="J30" s="3">
        <v>12974.78</v>
      </c>
      <c r="K30" s="3">
        <v>0</v>
      </c>
      <c r="L30" s="3">
        <v>0</v>
      </c>
      <c r="M30" s="3">
        <v>0</v>
      </c>
      <c r="N30" s="3">
        <f t="shared" si="1"/>
        <v>12974.78</v>
      </c>
      <c r="O30" s="3">
        <f t="shared" si="2"/>
        <v>67130.74</v>
      </c>
      <c r="P30" s="2">
        <v>150</v>
      </c>
    </row>
    <row r="31" spans="1:16" ht="13.5" customHeight="1" outlineLevel="2">
      <c r="A31" s="2" t="s">
        <v>17</v>
      </c>
      <c r="B31" s="2">
        <v>6010670064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f t="shared" si="0"/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f t="shared" si="1"/>
        <v>0</v>
      </c>
      <c r="O31" s="3">
        <f t="shared" si="2"/>
        <v>0</v>
      </c>
      <c r="P31" s="2">
        <v>158</v>
      </c>
    </row>
    <row r="32" spans="1:16" ht="13.5" customHeight="1" outlineLevel="2">
      <c r="A32" s="2" t="s">
        <v>17</v>
      </c>
      <c r="B32" s="2">
        <v>6010670067</v>
      </c>
      <c r="C32" s="2" t="s">
        <v>47</v>
      </c>
      <c r="D32" s="3">
        <v>0</v>
      </c>
      <c r="E32" s="3">
        <v>0</v>
      </c>
      <c r="F32" s="3">
        <v>0</v>
      </c>
      <c r="G32" s="3">
        <v>0</v>
      </c>
      <c r="H32" s="3">
        <f t="shared" si="0"/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f t="shared" si="1"/>
        <v>0</v>
      </c>
      <c r="O32" s="3">
        <f t="shared" si="2"/>
        <v>0</v>
      </c>
      <c r="P32" s="2">
        <v>169</v>
      </c>
    </row>
    <row r="33" spans="1:16" ht="13.5" customHeight="1" outlineLevel="2">
      <c r="A33" s="2" t="s">
        <v>17</v>
      </c>
      <c r="B33" s="2">
        <v>6010670070</v>
      </c>
      <c r="C33" s="2" t="s">
        <v>48</v>
      </c>
      <c r="D33" s="3">
        <v>0</v>
      </c>
      <c r="E33" s="3">
        <v>0</v>
      </c>
      <c r="F33" s="3">
        <v>0</v>
      </c>
      <c r="G33" s="3">
        <v>0</v>
      </c>
      <c r="H33" s="3">
        <f t="shared" si="0"/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f t="shared" si="1"/>
        <v>0</v>
      </c>
      <c r="O33" s="3">
        <f t="shared" si="2"/>
        <v>0</v>
      </c>
      <c r="P33" s="2">
        <v>173</v>
      </c>
    </row>
    <row r="34" spans="1:16" ht="13.5" customHeight="1" outlineLevel="2">
      <c r="A34" s="2" t="s">
        <v>17</v>
      </c>
      <c r="B34" s="2">
        <v>6010670071</v>
      </c>
      <c r="C34" s="2" t="s">
        <v>49</v>
      </c>
      <c r="D34" s="3">
        <v>0</v>
      </c>
      <c r="E34" s="3">
        <f>40886.42</f>
        <v>40886.42</v>
      </c>
      <c r="F34" s="3">
        <f>34703.09+587.83-0.01</f>
        <v>35290.909999999996</v>
      </c>
      <c r="G34" s="3">
        <v>0</v>
      </c>
      <c r="H34" s="3">
        <f t="shared" si="0"/>
        <v>76177.32999999999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f t="shared" si="1"/>
        <v>0</v>
      </c>
      <c r="O34" s="3">
        <f t="shared" si="2"/>
        <v>76177.32999999999</v>
      </c>
      <c r="P34" s="2">
        <v>170</v>
      </c>
    </row>
    <row r="35" spans="1:16" ht="13.5" customHeight="1" outlineLevel="2">
      <c r="A35" s="2" t="s">
        <v>17</v>
      </c>
      <c r="B35" s="2">
        <v>6010670072</v>
      </c>
      <c r="C35" s="2" t="s">
        <v>50</v>
      </c>
      <c r="D35" s="3">
        <v>0</v>
      </c>
      <c r="E35" s="3">
        <v>0</v>
      </c>
      <c r="F35" s="3">
        <v>3697.85</v>
      </c>
      <c r="G35" s="3">
        <v>0</v>
      </c>
      <c r="H35" s="3">
        <f t="shared" si="0"/>
        <v>3697.85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f t="shared" si="1"/>
        <v>0</v>
      </c>
      <c r="O35" s="3">
        <f t="shared" si="2"/>
        <v>3697.85</v>
      </c>
      <c r="P35" s="2">
        <v>171</v>
      </c>
    </row>
    <row r="36" spans="1:16" ht="13.5" customHeight="1" outlineLevel="2">
      <c r="A36" s="2" t="s">
        <v>17</v>
      </c>
      <c r="B36" s="2">
        <v>6010670074</v>
      </c>
      <c r="C36" s="2" t="s">
        <v>51</v>
      </c>
      <c r="D36" s="3">
        <v>0</v>
      </c>
      <c r="E36" s="3">
        <v>0</v>
      </c>
      <c r="F36" s="3">
        <v>39012.24</v>
      </c>
      <c r="G36" s="3">
        <v>0</v>
      </c>
      <c r="H36" s="3">
        <f t="shared" si="0"/>
        <v>39012.24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f t="shared" si="1"/>
        <v>0</v>
      </c>
      <c r="O36" s="3">
        <f t="shared" si="2"/>
        <v>39012.24</v>
      </c>
      <c r="P36" s="2">
        <v>151</v>
      </c>
    </row>
    <row r="37" spans="1:16" ht="13.5" customHeight="1" outlineLevel="2">
      <c r="A37" s="2" t="s">
        <v>17</v>
      </c>
      <c r="B37" s="2">
        <v>6010670077</v>
      </c>
      <c r="C37" s="2" t="s">
        <v>52</v>
      </c>
      <c r="D37" s="3">
        <v>0</v>
      </c>
      <c r="E37" s="3">
        <v>0</v>
      </c>
      <c r="F37" s="3">
        <v>0</v>
      </c>
      <c r="G37" s="3">
        <v>0</v>
      </c>
      <c r="H37" s="3">
        <f t="shared" si="0"/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f t="shared" si="1"/>
        <v>0</v>
      </c>
      <c r="O37" s="3">
        <f t="shared" si="2"/>
        <v>0</v>
      </c>
      <c r="P37" s="2">
        <v>55</v>
      </c>
    </row>
    <row r="38" spans="1:16" ht="13.5" customHeight="1" outlineLevel="2">
      <c r="A38" s="2" t="s">
        <v>17</v>
      </c>
      <c r="B38" s="2">
        <v>6010670080</v>
      </c>
      <c r="C38" s="2" t="s">
        <v>53</v>
      </c>
      <c r="D38" s="3">
        <v>0</v>
      </c>
      <c r="E38" s="3">
        <v>0</v>
      </c>
      <c r="F38" s="3">
        <v>0</v>
      </c>
      <c r="G38" s="3">
        <v>0</v>
      </c>
      <c r="H38" s="3">
        <f t="shared" si="0"/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f t="shared" si="1"/>
        <v>0</v>
      </c>
      <c r="O38" s="3">
        <f t="shared" si="2"/>
        <v>0</v>
      </c>
      <c r="P38" s="2">
        <v>59</v>
      </c>
    </row>
    <row r="39" spans="1:16" ht="13.5" customHeight="1" outlineLevel="2">
      <c r="A39" s="2" t="s">
        <v>17</v>
      </c>
      <c r="B39" s="2">
        <v>6010670081</v>
      </c>
      <c r="C39" s="2" t="s">
        <v>54</v>
      </c>
      <c r="D39" s="3">
        <v>0</v>
      </c>
      <c r="E39" s="3">
        <v>0</v>
      </c>
      <c r="F39" s="3">
        <v>0</v>
      </c>
      <c r="G39" s="3">
        <v>0</v>
      </c>
      <c r="H39" s="3">
        <f t="shared" si="0"/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f t="shared" si="1"/>
        <v>0</v>
      </c>
      <c r="O39" s="3">
        <f t="shared" si="2"/>
        <v>0</v>
      </c>
      <c r="P39" s="2">
        <v>63</v>
      </c>
    </row>
    <row r="40" spans="1:16" ht="13.5" customHeight="1" outlineLevel="2">
      <c r="A40" s="2" t="s">
        <v>17</v>
      </c>
      <c r="B40" s="2">
        <v>6010670082</v>
      </c>
      <c r="C40" s="2" t="s">
        <v>55</v>
      </c>
      <c r="D40" s="3">
        <v>0</v>
      </c>
      <c r="E40" s="3">
        <v>0</v>
      </c>
      <c r="F40" s="3">
        <v>0</v>
      </c>
      <c r="G40" s="3">
        <v>0</v>
      </c>
      <c r="H40" s="3">
        <f t="shared" si="0"/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f t="shared" si="1"/>
        <v>0</v>
      </c>
      <c r="O40" s="3">
        <f t="shared" si="2"/>
        <v>0</v>
      </c>
      <c r="P40" s="2">
        <v>65</v>
      </c>
    </row>
    <row r="41" spans="1:16" ht="13.5" customHeight="1" outlineLevel="2">
      <c r="A41" s="2" t="s">
        <v>17</v>
      </c>
      <c r="B41" s="2">
        <v>6010670083</v>
      </c>
      <c r="C41" s="2" t="s">
        <v>56</v>
      </c>
      <c r="D41" s="3">
        <v>0</v>
      </c>
      <c r="E41" s="3">
        <v>0</v>
      </c>
      <c r="F41" s="3">
        <v>0</v>
      </c>
      <c r="G41" s="3">
        <v>0</v>
      </c>
      <c r="H41" s="3">
        <f t="shared" si="0"/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f t="shared" si="1"/>
        <v>0</v>
      </c>
      <c r="O41" s="3">
        <f t="shared" si="2"/>
        <v>0</v>
      </c>
      <c r="P41" s="2">
        <v>66</v>
      </c>
    </row>
    <row r="42" spans="1:16" ht="13.5" customHeight="1" outlineLevel="2">
      <c r="A42" s="2" t="s">
        <v>17</v>
      </c>
      <c r="B42" s="2">
        <v>6010670084</v>
      </c>
      <c r="C42" s="2" t="s">
        <v>57</v>
      </c>
      <c r="D42" s="3">
        <v>0</v>
      </c>
      <c r="E42" s="3">
        <v>0</v>
      </c>
      <c r="F42" s="3">
        <v>0</v>
      </c>
      <c r="G42" s="3">
        <v>0</v>
      </c>
      <c r="H42" s="3">
        <f t="shared" si="0"/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f t="shared" si="1"/>
        <v>0</v>
      </c>
      <c r="O42" s="3">
        <f t="shared" si="2"/>
        <v>0</v>
      </c>
      <c r="P42" s="2">
        <v>67</v>
      </c>
    </row>
    <row r="43" spans="1:16" ht="13.5" customHeight="1" outlineLevel="2">
      <c r="A43" s="2" t="s">
        <v>17</v>
      </c>
      <c r="B43" s="2">
        <v>6010670085</v>
      </c>
      <c r="C43" s="2" t="s">
        <v>58</v>
      </c>
      <c r="D43" s="3">
        <v>0</v>
      </c>
      <c r="E43" s="3">
        <v>0</v>
      </c>
      <c r="F43" s="3">
        <v>0</v>
      </c>
      <c r="G43" s="3">
        <v>0</v>
      </c>
      <c r="H43" s="3">
        <f t="shared" si="0"/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f t="shared" si="1"/>
        <v>0</v>
      </c>
      <c r="O43" s="3">
        <f t="shared" si="2"/>
        <v>0</v>
      </c>
      <c r="P43" s="2">
        <v>68</v>
      </c>
    </row>
    <row r="44" spans="1:16" ht="13.5" customHeight="1" outlineLevel="2">
      <c r="A44" s="2" t="s">
        <v>17</v>
      </c>
      <c r="B44" s="2">
        <v>6010670086</v>
      </c>
      <c r="C44" s="2" t="s">
        <v>59</v>
      </c>
      <c r="D44" s="3">
        <v>0</v>
      </c>
      <c r="E44" s="3">
        <v>0</v>
      </c>
      <c r="F44" s="3">
        <v>0</v>
      </c>
      <c r="G44" s="3">
        <v>0</v>
      </c>
      <c r="H44" s="3">
        <f t="shared" si="0"/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f t="shared" si="1"/>
        <v>0</v>
      </c>
      <c r="O44" s="3">
        <f t="shared" si="2"/>
        <v>0</v>
      </c>
      <c r="P44" s="2">
        <v>105</v>
      </c>
    </row>
    <row r="45" spans="1:16" ht="13.5" customHeight="1" outlineLevel="2">
      <c r="A45" s="2" t="s">
        <v>17</v>
      </c>
      <c r="B45" s="2">
        <v>6010670087</v>
      </c>
      <c r="C45" s="2" t="s">
        <v>60</v>
      </c>
      <c r="D45" s="3">
        <v>0</v>
      </c>
      <c r="E45" s="3">
        <v>0</v>
      </c>
      <c r="F45" s="3">
        <v>0</v>
      </c>
      <c r="G45" s="3">
        <v>0</v>
      </c>
      <c r="H45" s="3">
        <f t="shared" si="0"/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f t="shared" si="1"/>
        <v>0</v>
      </c>
      <c r="O45" s="3">
        <f t="shared" si="2"/>
        <v>0</v>
      </c>
      <c r="P45" s="2">
        <v>106</v>
      </c>
    </row>
    <row r="46" spans="1:16" ht="13.5" customHeight="1" outlineLevel="2">
      <c r="A46" s="2" t="s">
        <v>17</v>
      </c>
      <c r="B46" s="2">
        <v>6010670088</v>
      </c>
      <c r="C46" s="2" t="s">
        <v>61</v>
      </c>
      <c r="D46" s="3">
        <v>0</v>
      </c>
      <c r="E46" s="3">
        <v>0</v>
      </c>
      <c r="F46" s="3">
        <v>0</v>
      </c>
      <c r="G46" s="3">
        <v>0</v>
      </c>
      <c r="H46" s="3">
        <f t="shared" si="0"/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f t="shared" si="1"/>
        <v>0</v>
      </c>
      <c r="O46" s="3">
        <f t="shared" si="2"/>
        <v>0</v>
      </c>
      <c r="P46" s="2">
        <v>107</v>
      </c>
    </row>
    <row r="47" spans="1:16" ht="13.5" customHeight="1" outlineLevel="2">
      <c r="A47" s="2" t="s">
        <v>17</v>
      </c>
      <c r="B47" s="2">
        <v>6010670089</v>
      </c>
      <c r="C47" s="2" t="s">
        <v>62</v>
      </c>
      <c r="D47" s="3">
        <v>0</v>
      </c>
      <c r="E47" s="3">
        <v>0</v>
      </c>
      <c r="F47" s="3">
        <v>6.41</v>
      </c>
      <c r="G47" s="3">
        <v>0</v>
      </c>
      <c r="H47" s="3">
        <f t="shared" si="0"/>
        <v>6.41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f t="shared" si="1"/>
        <v>0</v>
      </c>
      <c r="O47" s="3">
        <f t="shared" si="2"/>
        <v>6.41</v>
      </c>
      <c r="P47" s="2">
        <v>108</v>
      </c>
    </row>
    <row r="48" spans="1:16" ht="13.5" customHeight="1" outlineLevel="2">
      <c r="A48" s="2" t="s">
        <v>17</v>
      </c>
      <c r="B48" s="2">
        <v>6010670090</v>
      </c>
      <c r="C48" s="2" t="s">
        <v>63</v>
      </c>
      <c r="D48" s="3">
        <v>0</v>
      </c>
      <c r="E48" s="3">
        <v>0</v>
      </c>
      <c r="F48" s="3">
        <v>-2</v>
      </c>
      <c r="G48" s="3">
        <v>0</v>
      </c>
      <c r="H48" s="3">
        <f t="shared" si="0"/>
        <v>-2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f t="shared" si="1"/>
        <v>0</v>
      </c>
      <c r="O48" s="3">
        <f t="shared" si="2"/>
        <v>-2</v>
      </c>
      <c r="P48" s="2">
        <v>109</v>
      </c>
    </row>
    <row r="49" spans="1:16" ht="13.5" customHeight="1" outlineLevel="2">
      <c r="A49" s="2" t="s">
        <v>17</v>
      </c>
      <c r="B49" s="2">
        <v>6010670093</v>
      </c>
      <c r="C49" s="2" t="s">
        <v>64</v>
      </c>
      <c r="D49" s="3">
        <v>0</v>
      </c>
      <c r="E49" s="3">
        <v>0.01</v>
      </c>
      <c r="F49" s="3">
        <v>0</v>
      </c>
      <c r="G49" s="3">
        <v>0</v>
      </c>
      <c r="H49" s="3">
        <f t="shared" si="0"/>
        <v>0.01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f t="shared" si="1"/>
        <v>0</v>
      </c>
      <c r="O49" s="3">
        <f t="shared" si="2"/>
        <v>0.01</v>
      </c>
      <c r="P49" s="2">
        <v>126</v>
      </c>
    </row>
    <row r="50" spans="1:16" ht="13.5" customHeight="1" outlineLevel="2">
      <c r="A50" s="2" t="s">
        <v>17</v>
      </c>
      <c r="B50" s="2">
        <v>6010670094</v>
      </c>
      <c r="C50" s="2" t="s">
        <v>65</v>
      </c>
      <c r="D50" s="3">
        <v>0</v>
      </c>
      <c r="E50" s="3">
        <v>0</v>
      </c>
      <c r="F50" s="3">
        <v>0</v>
      </c>
      <c r="G50" s="3">
        <v>0</v>
      </c>
      <c r="H50" s="3">
        <f t="shared" si="0"/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f t="shared" si="1"/>
        <v>0</v>
      </c>
      <c r="O50" s="3">
        <f t="shared" si="2"/>
        <v>0</v>
      </c>
      <c r="P50" s="2">
        <v>139</v>
      </c>
    </row>
    <row r="51" spans="1:16" ht="13.5" customHeight="1" outlineLevel="2">
      <c r="A51" s="2" t="s">
        <v>17</v>
      </c>
      <c r="B51" s="2">
        <v>6010670095</v>
      </c>
      <c r="C51" s="2" t="s">
        <v>66</v>
      </c>
      <c r="D51" s="3">
        <v>0</v>
      </c>
      <c r="E51" s="3">
        <v>8469.23</v>
      </c>
      <c r="F51" s="3">
        <v>161891.54</v>
      </c>
      <c r="G51" s="3">
        <v>0</v>
      </c>
      <c r="H51" s="3">
        <f t="shared" si="0"/>
        <v>170360.77000000002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f t="shared" si="1"/>
        <v>0</v>
      </c>
      <c r="O51" s="3">
        <f t="shared" si="2"/>
        <v>170360.77000000002</v>
      </c>
      <c r="P51" s="2">
        <v>140</v>
      </c>
    </row>
    <row r="52" spans="1:16" ht="13.5" customHeight="1" outlineLevel="2">
      <c r="A52" s="2" t="s">
        <v>17</v>
      </c>
      <c r="B52" s="2">
        <v>6010670096</v>
      </c>
      <c r="C52" s="2" t="s">
        <v>67</v>
      </c>
      <c r="D52" s="3">
        <v>0</v>
      </c>
      <c r="E52" s="3">
        <f>89576.83+4967.19</f>
        <v>94544.02</v>
      </c>
      <c r="F52" s="3">
        <f>63925.02-3069.28</f>
        <v>60855.74</v>
      </c>
      <c r="G52" s="3">
        <v>0</v>
      </c>
      <c r="H52" s="3">
        <f t="shared" si="0"/>
        <v>155399.76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f t="shared" si="1"/>
        <v>0</v>
      </c>
      <c r="O52" s="3">
        <f t="shared" si="2"/>
        <v>155399.76</v>
      </c>
      <c r="P52" s="2">
        <v>142</v>
      </c>
    </row>
    <row r="53" spans="1:16" ht="13.5" customHeight="1" outlineLevel="2">
      <c r="A53" s="2" t="s">
        <v>17</v>
      </c>
      <c r="B53" s="2">
        <v>6010670097</v>
      </c>
      <c r="C53" s="2" t="s">
        <v>68</v>
      </c>
      <c r="D53" s="3">
        <v>0</v>
      </c>
      <c r="E53" s="3">
        <v>0</v>
      </c>
      <c r="F53" s="3">
        <v>0</v>
      </c>
      <c r="G53" s="3">
        <v>0</v>
      </c>
      <c r="H53" s="3">
        <f t="shared" si="0"/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f t="shared" si="1"/>
        <v>0</v>
      </c>
      <c r="O53" s="3">
        <f t="shared" si="2"/>
        <v>0</v>
      </c>
      <c r="P53" s="2">
        <v>146</v>
      </c>
    </row>
    <row r="54" spans="1:16" ht="13.5" customHeight="1" outlineLevel="2">
      <c r="A54" s="2" t="s">
        <v>17</v>
      </c>
      <c r="B54" s="2">
        <v>6010670098</v>
      </c>
      <c r="C54" s="2" t="s">
        <v>69</v>
      </c>
      <c r="D54" s="3">
        <v>0</v>
      </c>
      <c r="E54" s="3">
        <v>2397.07</v>
      </c>
      <c r="F54" s="3">
        <v>61.97</v>
      </c>
      <c r="G54" s="3">
        <v>0</v>
      </c>
      <c r="H54" s="3">
        <f t="shared" si="0"/>
        <v>2459.04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f t="shared" si="1"/>
        <v>0</v>
      </c>
      <c r="O54" s="3">
        <f t="shared" si="2"/>
        <v>2459.04</v>
      </c>
      <c r="P54" s="2">
        <v>148</v>
      </c>
    </row>
    <row r="55" spans="1:16" ht="13.5" customHeight="1" outlineLevel="2">
      <c r="A55" s="2" t="s">
        <v>17</v>
      </c>
      <c r="B55" s="2">
        <v>6010670099</v>
      </c>
      <c r="C55" s="2" t="s">
        <v>70</v>
      </c>
      <c r="D55" s="3">
        <v>0</v>
      </c>
      <c r="E55" s="3">
        <v>0</v>
      </c>
      <c r="F55" s="3">
        <v>12657.87</v>
      </c>
      <c r="G55" s="3">
        <v>0</v>
      </c>
      <c r="H55" s="3">
        <f t="shared" si="0"/>
        <v>12657.87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f t="shared" si="1"/>
        <v>0</v>
      </c>
      <c r="O55" s="3">
        <f t="shared" si="2"/>
        <v>12657.87</v>
      </c>
      <c r="P55" s="2">
        <v>149</v>
      </c>
    </row>
    <row r="56" spans="1:16" ht="13.5" customHeight="1" outlineLevel="2">
      <c r="A56" s="2" t="s">
        <v>17</v>
      </c>
      <c r="B56" s="2">
        <v>6010670100</v>
      </c>
      <c r="C56" s="2" t="s">
        <v>71</v>
      </c>
      <c r="D56" s="3">
        <v>0</v>
      </c>
      <c r="E56" s="3">
        <v>5577.96</v>
      </c>
      <c r="F56" s="3">
        <f>45186.51+920-0.02</f>
        <v>46106.490000000005</v>
      </c>
      <c r="G56" s="3">
        <v>0</v>
      </c>
      <c r="H56" s="3">
        <f t="shared" si="0"/>
        <v>51684.450000000004</v>
      </c>
      <c r="I56" s="3">
        <v>0</v>
      </c>
      <c r="J56" s="3">
        <v>0</v>
      </c>
      <c r="K56" s="3">
        <f>22514.32+8334.49</f>
        <v>30848.809999999998</v>
      </c>
      <c r="L56" s="3">
        <v>0</v>
      </c>
      <c r="M56" s="3">
        <v>0</v>
      </c>
      <c r="N56" s="3">
        <f t="shared" si="1"/>
        <v>30848.809999999998</v>
      </c>
      <c r="O56" s="3">
        <f t="shared" si="2"/>
        <v>82533.26000000001</v>
      </c>
      <c r="P56" s="2">
        <v>185</v>
      </c>
    </row>
    <row r="57" spans="1:16" ht="13.5" customHeight="1" outlineLevel="2">
      <c r="A57" s="2" t="s">
        <v>17</v>
      </c>
      <c r="B57" s="2">
        <v>6010670101</v>
      </c>
      <c r="C57" s="2" t="s">
        <v>143</v>
      </c>
      <c r="D57" s="3">
        <v>0</v>
      </c>
      <c r="E57" s="3">
        <v>0</v>
      </c>
      <c r="F57" s="3">
        <v>0</v>
      </c>
      <c r="G57" s="3">
        <v>0</v>
      </c>
      <c r="H57" s="3">
        <f t="shared" si="0"/>
        <v>0</v>
      </c>
      <c r="I57" s="3">
        <v>0</v>
      </c>
      <c r="J57" s="3">
        <v>0</v>
      </c>
      <c r="K57" s="3">
        <v>0</v>
      </c>
      <c r="L57" s="3">
        <v>0</v>
      </c>
      <c r="M57" s="3">
        <v>138.44</v>
      </c>
      <c r="N57" s="3">
        <f t="shared" si="1"/>
        <v>138.44</v>
      </c>
      <c r="O57" s="3">
        <f t="shared" si="2"/>
        <v>138.44</v>
      </c>
      <c r="P57" s="2"/>
    </row>
    <row r="58" spans="1:16" ht="13.5" customHeight="1" outlineLevel="2">
      <c r="A58" s="2" t="s">
        <v>17</v>
      </c>
      <c r="B58" s="2">
        <v>6010670102</v>
      </c>
      <c r="C58" s="2" t="s">
        <v>72</v>
      </c>
      <c r="D58" s="3">
        <v>0</v>
      </c>
      <c r="E58" s="3">
        <v>0</v>
      </c>
      <c r="F58" s="3">
        <v>0</v>
      </c>
      <c r="G58" s="3">
        <v>0</v>
      </c>
      <c r="H58" s="3">
        <f t="shared" si="0"/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f t="shared" si="1"/>
        <v>0</v>
      </c>
      <c r="O58" s="3">
        <f t="shared" si="2"/>
        <v>0</v>
      </c>
      <c r="P58" s="2">
        <v>206</v>
      </c>
    </row>
    <row r="59" spans="1:16" ht="13.5" customHeight="1" outlineLevel="2">
      <c r="A59" s="2" t="s">
        <v>17</v>
      </c>
      <c r="B59" s="2">
        <v>6010670103</v>
      </c>
      <c r="C59" s="2" t="s">
        <v>73</v>
      </c>
      <c r="D59" s="3">
        <v>0</v>
      </c>
      <c r="E59" s="3">
        <v>0</v>
      </c>
      <c r="F59" s="3">
        <v>0</v>
      </c>
      <c r="G59" s="3">
        <v>0</v>
      </c>
      <c r="H59" s="3">
        <f t="shared" si="0"/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f t="shared" si="1"/>
        <v>0</v>
      </c>
      <c r="O59" s="3">
        <f t="shared" si="2"/>
        <v>0</v>
      </c>
      <c r="P59" s="2">
        <v>209</v>
      </c>
    </row>
    <row r="60" spans="1:16" ht="13.5" customHeight="1" outlineLevel="2">
      <c r="A60" s="2" t="s">
        <v>17</v>
      </c>
      <c r="B60" s="2">
        <v>6010670104</v>
      </c>
      <c r="C60" s="2" t="s">
        <v>74</v>
      </c>
      <c r="D60" s="3">
        <v>0</v>
      </c>
      <c r="E60" s="3">
        <v>0</v>
      </c>
      <c r="F60" s="3">
        <v>0</v>
      </c>
      <c r="G60" s="3">
        <v>0</v>
      </c>
      <c r="H60" s="3">
        <f t="shared" si="0"/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f t="shared" si="1"/>
        <v>0</v>
      </c>
      <c r="O60" s="3">
        <f t="shared" si="2"/>
        <v>0</v>
      </c>
      <c r="P60" s="2">
        <v>212</v>
      </c>
    </row>
    <row r="61" spans="1:16" ht="13.5" customHeight="1" outlineLevel="2">
      <c r="A61" s="2" t="s">
        <v>17</v>
      </c>
      <c r="B61" s="2">
        <v>6010670105</v>
      </c>
      <c r="C61" s="2" t="s">
        <v>75</v>
      </c>
      <c r="D61" s="3">
        <v>0</v>
      </c>
      <c r="E61" s="3">
        <v>0</v>
      </c>
      <c r="F61" s="3">
        <v>0</v>
      </c>
      <c r="G61" s="3">
        <v>0</v>
      </c>
      <c r="H61" s="3">
        <f t="shared" si="0"/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f t="shared" si="1"/>
        <v>0</v>
      </c>
      <c r="O61" s="3">
        <f t="shared" si="2"/>
        <v>0</v>
      </c>
      <c r="P61" s="2">
        <v>210</v>
      </c>
    </row>
    <row r="62" spans="1:16" ht="13.5" customHeight="1" outlineLevel="2">
      <c r="A62" s="2" t="s">
        <v>17</v>
      </c>
      <c r="B62" s="2">
        <v>6010670106</v>
      </c>
      <c r="C62" s="2" t="s">
        <v>76</v>
      </c>
      <c r="D62" s="3">
        <v>0</v>
      </c>
      <c r="E62" s="3">
        <v>0</v>
      </c>
      <c r="F62" s="3">
        <v>8957.26</v>
      </c>
      <c r="G62" s="3">
        <v>0</v>
      </c>
      <c r="H62" s="3">
        <f t="shared" si="0"/>
        <v>8957.26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f t="shared" si="1"/>
        <v>0</v>
      </c>
      <c r="O62" s="3">
        <f t="shared" si="2"/>
        <v>8957.26</v>
      </c>
      <c r="P62" s="2">
        <v>207</v>
      </c>
    </row>
    <row r="63" spans="1:16" ht="13.5" customHeight="1" outlineLevel="2">
      <c r="A63" s="2" t="s">
        <v>17</v>
      </c>
      <c r="B63" s="2">
        <v>6010670108</v>
      </c>
      <c r="C63" s="2" t="s">
        <v>77</v>
      </c>
      <c r="D63" s="3">
        <v>0</v>
      </c>
      <c r="E63" s="3">
        <v>0</v>
      </c>
      <c r="F63" s="3">
        <v>0</v>
      </c>
      <c r="G63" s="3">
        <v>0</v>
      </c>
      <c r="H63" s="3">
        <f t="shared" si="0"/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f t="shared" si="1"/>
        <v>0</v>
      </c>
      <c r="O63" s="3">
        <f t="shared" si="2"/>
        <v>0</v>
      </c>
      <c r="P63" s="2">
        <v>214</v>
      </c>
    </row>
    <row r="64" spans="1:16" ht="13.5" customHeight="1" outlineLevel="2">
      <c r="A64" s="2" t="s">
        <v>17</v>
      </c>
      <c r="B64" s="2">
        <v>6010670109</v>
      </c>
      <c r="C64" s="2" t="s">
        <v>78</v>
      </c>
      <c r="D64" s="3">
        <v>0</v>
      </c>
      <c r="E64" s="3">
        <v>0</v>
      </c>
      <c r="F64" s="3">
        <f>7920</f>
        <v>7920</v>
      </c>
      <c r="G64" s="3">
        <v>0</v>
      </c>
      <c r="H64" s="3">
        <f t="shared" si="0"/>
        <v>7920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f t="shared" si="1"/>
        <v>0</v>
      </c>
      <c r="O64" s="3">
        <f t="shared" si="2"/>
        <v>7920</v>
      </c>
      <c r="P64" s="2">
        <v>218</v>
      </c>
    </row>
    <row r="65" spans="1:16" ht="13.5" customHeight="1" outlineLevel="2">
      <c r="A65" s="2" t="s">
        <v>17</v>
      </c>
      <c r="B65" s="2">
        <v>6010670110</v>
      </c>
      <c r="C65" s="2" t="s">
        <v>79</v>
      </c>
      <c r="D65" s="3">
        <v>0</v>
      </c>
      <c r="E65" s="3">
        <v>0</v>
      </c>
      <c r="F65" s="3">
        <v>9900</v>
      </c>
      <c r="G65" s="3">
        <v>0</v>
      </c>
      <c r="H65" s="3">
        <f t="shared" si="0"/>
        <v>9900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f t="shared" si="1"/>
        <v>0</v>
      </c>
      <c r="O65" s="3">
        <f t="shared" si="2"/>
        <v>9900</v>
      </c>
      <c r="P65" s="2">
        <v>222</v>
      </c>
    </row>
    <row r="66" spans="1:16" ht="13.5" customHeight="1" outlineLevel="2">
      <c r="A66" s="2" t="s">
        <v>17</v>
      </c>
      <c r="B66" s="2">
        <v>6010670111</v>
      </c>
      <c r="C66" s="2" t="s">
        <v>80</v>
      </c>
      <c r="D66" s="3">
        <v>35651.7</v>
      </c>
      <c r="E66" s="3">
        <v>0</v>
      </c>
      <c r="F66" s="3">
        <v>0</v>
      </c>
      <c r="G66" s="3">
        <f>18248.83+4054</f>
        <v>22302.83</v>
      </c>
      <c r="H66" s="3">
        <f t="shared" si="0"/>
        <v>57954.53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f t="shared" si="1"/>
        <v>0</v>
      </c>
      <c r="O66" s="3">
        <f t="shared" si="2"/>
        <v>57954.53</v>
      </c>
      <c r="P66" s="2">
        <v>224</v>
      </c>
    </row>
    <row r="67" spans="1:16" ht="13.5" customHeight="1" outlineLevel="2">
      <c r="A67" s="2" t="s">
        <v>17</v>
      </c>
      <c r="B67" s="2">
        <v>6010670112</v>
      </c>
      <c r="C67" s="2" t="s">
        <v>81</v>
      </c>
      <c r="D67" s="3">
        <v>130441.23</v>
      </c>
      <c r="E67" s="3">
        <v>0</v>
      </c>
      <c r="F67" s="3">
        <v>0</v>
      </c>
      <c r="G67" s="3">
        <v>58980</v>
      </c>
      <c r="H67" s="3">
        <f t="shared" si="0"/>
        <v>189421.22999999998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f t="shared" si="1"/>
        <v>0</v>
      </c>
      <c r="O67" s="3">
        <f t="shared" si="2"/>
        <v>189421.22999999998</v>
      </c>
      <c r="P67" s="2">
        <v>225</v>
      </c>
    </row>
    <row r="68" spans="1:16" ht="13.5" customHeight="1" outlineLevel="2">
      <c r="A68" s="2" t="s">
        <v>17</v>
      </c>
      <c r="B68" s="2">
        <v>6010670113</v>
      </c>
      <c r="C68" s="2" t="s">
        <v>82</v>
      </c>
      <c r="D68" s="3">
        <v>54737.7</v>
      </c>
      <c r="E68" s="3">
        <v>0</v>
      </c>
      <c r="F68" s="3">
        <v>0</v>
      </c>
      <c r="G68" s="3">
        <f>15174-4054</f>
        <v>11120</v>
      </c>
      <c r="H68" s="3">
        <f aca="true" t="shared" si="3" ref="H68:H131">D68+E68+F68+G68</f>
        <v>65857.7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f aca="true" t="shared" si="4" ref="N68:N131">M68+L68+K68+J68+I68</f>
        <v>0</v>
      </c>
      <c r="O68" s="3">
        <f aca="true" t="shared" si="5" ref="O68:O133">H68+N68</f>
        <v>65857.7</v>
      </c>
      <c r="P68" s="2">
        <v>226</v>
      </c>
    </row>
    <row r="69" spans="1:16" ht="13.5" customHeight="1" outlineLevel="2">
      <c r="A69" s="2" t="s">
        <v>17</v>
      </c>
      <c r="B69" s="2">
        <v>6010670115</v>
      </c>
      <c r="C69" s="2" t="s">
        <v>83</v>
      </c>
      <c r="D69" s="3">
        <f>196508+20167+20167+45189</f>
        <v>282031</v>
      </c>
      <c r="E69" s="3">
        <v>0</v>
      </c>
      <c r="F69" s="3">
        <v>0</v>
      </c>
      <c r="G69" s="3">
        <f>88470+9830+9830+9839</f>
        <v>117969</v>
      </c>
      <c r="H69" s="3">
        <f t="shared" si="3"/>
        <v>400000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f t="shared" si="4"/>
        <v>0</v>
      </c>
      <c r="O69" s="3">
        <f t="shared" si="5"/>
        <v>400000</v>
      </c>
      <c r="P69" s="2">
        <v>254</v>
      </c>
    </row>
    <row r="70" spans="1:16" ht="13.5" customHeight="1" outlineLevel="2">
      <c r="A70" s="2" t="s">
        <v>17</v>
      </c>
      <c r="B70" s="2">
        <v>6010670116</v>
      </c>
      <c r="C70" s="2" t="s">
        <v>84</v>
      </c>
      <c r="D70" s="3">
        <f>196508+20167+20167+45189</f>
        <v>282031</v>
      </c>
      <c r="E70" s="3">
        <v>0</v>
      </c>
      <c r="F70" s="3">
        <v>0</v>
      </c>
      <c r="G70" s="3">
        <f>88470+9830+9830+9839</f>
        <v>117969</v>
      </c>
      <c r="H70" s="3">
        <f t="shared" si="3"/>
        <v>400000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f t="shared" si="4"/>
        <v>0</v>
      </c>
      <c r="O70" s="3">
        <f t="shared" si="5"/>
        <v>400000</v>
      </c>
      <c r="P70" s="2">
        <v>253</v>
      </c>
    </row>
    <row r="71" spans="1:16" ht="13.5" customHeight="1" outlineLevel="2">
      <c r="A71" s="2" t="s">
        <v>17</v>
      </c>
      <c r="B71" s="2">
        <v>6010670117</v>
      </c>
      <c r="C71" s="2" t="s">
        <v>85</v>
      </c>
      <c r="D71" s="3">
        <f>196509+20167+20167+45190</f>
        <v>282033</v>
      </c>
      <c r="E71" s="3">
        <v>0</v>
      </c>
      <c r="F71" s="3">
        <v>0</v>
      </c>
      <c r="G71" s="3">
        <f>50544+5616+5616+5616</f>
        <v>67392</v>
      </c>
      <c r="H71" s="3">
        <f t="shared" si="3"/>
        <v>349425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f t="shared" si="4"/>
        <v>0</v>
      </c>
      <c r="O71" s="3">
        <f t="shared" si="5"/>
        <v>349425</v>
      </c>
      <c r="P71" s="2">
        <v>255</v>
      </c>
    </row>
    <row r="72" spans="1:16" ht="13.5" customHeight="1" outlineLevel="2">
      <c r="A72" s="2" t="s">
        <v>17</v>
      </c>
      <c r="B72" s="2">
        <v>6010670118</v>
      </c>
      <c r="C72" s="2" t="s">
        <v>86</v>
      </c>
      <c r="D72" s="3">
        <v>0</v>
      </c>
      <c r="E72" s="3">
        <v>0</v>
      </c>
      <c r="F72" s="3">
        <f>10467.92+805.9</f>
        <v>11273.82</v>
      </c>
      <c r="G72" s="3">
        <v>0</v>
      </c>
      <c r="H72" s="3">
        <f t="shared" si="3"/>
        <v>11273.82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f t="shared" si="4"/>
        <v>0</v>
      </c>
      <c r="O72" s="3">
        <f t="shared" si="5"/>
        <v>11273.82</v>
      </c>
      <c r="P72" s="2">
        <v>264</v>
      </c>
    </row>
    <row r="73" spans="1:16" ht="13.5" customHeight="1" outlineLevel="2">
      <c r="A73" s="2" t="s">
        <v>17</v>
      </c>
      <c r="B73" s="2">
        <v>6010670119</v>
      </c>
      <c r="C73" s="2" t="s">
        <v>87</v>
      </c>
      <c r="D73" s="3">
        <v>0</v>
      </c>
      <c r="E73" s="3">
        <f>804+500</f>
        <v>1304</v>
      </c>
      <c r="F73" s="3">
        <f>3906.68+866+3715.5</f>
        <v>8488.18</v>
      </c>
      <c r="G73" s="3">
        <f>25000+20000+10000</f>
        <v>55000</v>
      </c>
      <c r="H73" s="3">
        <f t="shared" si="3"/>
        <v>64792.18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f t="shared" si="4"/>
        <v>0</v>
      </c>
      <c r="O73" s="3">
        <f t="shared" si="5"/>
        <v>64792.18</v>
      </c>
      <c r="P73" s="2">
        <v>263</v>
      </c>
    </row>
    <row r="74" spans="1:16" ht="13.5" customHeight="1" outlineLevel="2">
      <c r="A74" s="2" t="s">
        <v>17</v>
      </c>
      <c r="B74" s="2">
        <v>6010670120</v>
      </c>
      <c r="C74" s="2" t="s">
        <v>145</v>
      </c>
      <c r="D74" s="3">
        <v>0</v>
      </c>
      <c r="E74" s="3">
        <v>0</v>
      </c>
      <c r="F74" s="3">
        <f>328.9+74837.4+413203.05+38129.4-642.85</f>
        <v>525855.9</v>
      </c>
      <c r="G74" s="3">
        <v>0</v>
      </c>
      <c r="H74" s="3">
        <f>D74+E74+F74+G74</f>
        <v>525855.9</v>
      </c>
      <c r="I74" s="3">
        <f>22877031.25+19076235.48+18125190.26+54291.5+11218.83</f>
        <v>60143967.32000001</v>
      </c>
      <c r="J74" s="3">
        <v>0</v>
      </c>
      <c r="K74" s="3">
        <v>0</v>
      </c>
      <c r="L74" s="3">
        <v>0</v>
      </c>
      <c r="M74" s="3">
        <f>16510752.15+4059322.79+6755532.78+7196407-0.35-0.01</f>
        <v>34522014.36</v>
      </c>
      <c r="N74" s="3">
        <f>M74+L74+K74+J74+I74</f>
        <v>94665981.68</v>
      </c>
      <c r="O74" s="3">
        <f>H74+N74</f>
        <v>95191837.58000001</v>
      </c>
      <c r="P74" s="2"/>
    </row>
    <row r="75" spans="1:16" ht="13.5" customHeight="1" outlineLevel="2">
      <c r="A75" s="2" t="s">
        <v>17</v>
      </c>
      <c r="B75" s="2">
        <v>6010670121</v>
      </c>
      <c r="C75" s="2" t="s">
        <v>146</v>
      </c>
      <c r="D75" s="3">
        <v>0</v>
      </c>
      <c r="E75" s="3">
        <v>0</v>
      </c>
      <c r="F75" s="3">
        <v>13200</v>
      </c>
      <c r="G75" s="3">
        <v>0</v>
      </c>
      <c r="H75" s="3">
        <f>D75+E75+F75+G75</f>
        <v>13200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f>M75+L75+K75+J75+I75</f>
        <v>0</v>
      </c>
      <c r="O75" s="3">
        <f>H75+N75</f>
        <v>13200</v>
      </c>
      <c r="P75" s="2"/>
    </row>
    <row r="76" spans="1:16" ht="13.5" customHeight="1" outlineLevel="2">
      <c r="A76" s="2" t="s">
        <v>17</v>
      </c>
      <c r="B76" s="2">
        <v>6010670123</v>
      </c>
      <c r="C76" s="2" t="s">
        <v>147</v>
      </c>
      <c r="D76" s="3">
        <v>0</v>
      </c>
      <c r="E76" s="3">
        <v>0</v>
      </c>
      <c r="F76" s="3">
        <v>9900</v>
      </c>
      <c r="G76" s="3">
        <v>0</v>
      </c>
      <c r="H76" s="3">
        <f t="shared" si="3"/>
        <v>9900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f t="shared" si="4"/>
        <v>0</v>
      </c>
      <c r="O76" s="3">
        <f t="shared" si="5"/>
        <v>9900</v>
      </c>
      <c r="P76" s="2"/>
    </row>
    <row r="77" spans="1:16" ht="13.5" customHeight="1" outlineLevel="1">
      <c r="A77" s="7" t="s">
        <v>139</v>
      </c>
      <c r="B77" s="8"/>
      <c r="C77" s="8"/>
      <c r="D77" s="7">
        <f aca="true" t="shared" si="6" ref="D77:N77">SUBTOTAL(9,D2:D76)</f>
        <v>1066925.63</v>
      </c>
      <c r="E77" s="7">
        <f t="shared" si="6"/>
        <v>215235.37</v>
      </c>
      <c r="F77" s="7">
        <f t="shared" si="6"/>
        <v>1482569.3399999999</v>
      </c>
      <c r="G77" s="7">
        <f t="shared" si="6"/>
        <v>583654.03</v>
      </c>
      <c r="H77" s="7">
        <f t="shared" si="6"/>
        <v>3348384.3699999996</v>
      </c>
      <c r="I77" s="7">
        <f t="shared" si="6"/>
        <v>60143967.32000001</v>
      </c>
      <c r="J77" s="7">
        <f t="shared" si="6"/>
        <v>88248.58</v>
      </c>
      <c r="K77" s="7">
        <f t="shared" si="6"/>
        <v>30848.809999999998</v>
      </c>
      <c r="L77" s="7">
        <f t="shared" si="6"/>
        <v>0</v>
      </c>
      <c r="M77" s="7">
        <f t="shared" si="6"/>
        <v>34522152.8</v>
      </c>
      <c r="N77" s="7">
        <f t="shared" si="6"/>
        <v>94785217.51</v>
      </c>
      <c r="O77" s="7">
        <f t="shared" si="5"/>
        <v>98133601.88000001</v>
      </c>
      <c r="P77" s="2"/>
    </row>
    <row r="78" spans="1:16" ht="13.5" customHeight="1" outlineLevel="2">
      <c r="A78" s="2" t="s">
        <v>88</v>
      </c>
      <c r="B78" s="2">
        <v>6011070001</v>
      </c>
      <c r="C78" s="2" t="s">
        <v>89</v>
      </c>
      <c r="D78" s="3">
        <v>0</v>
      </c>
      <c r="E78" s="3">
        <f>1430+5346</f>
        <v>6776</v>
      </c>
      <c r="F78" s="3">
        <f>85383.07+1500+11818.57</f>
        <v>98701.64000000001</v>
      </c>
      <c r="G78" s="3">
        <v>14040</v>
      </c>
      <c r="H78" s="3">
        <f t="shared" si="3"/>
        <v>119517.64000000001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f t="shared" si="4"/>
        <v>0</v>
      </c>
      <c r="O78" s="3">
        <f t="shared" si="5"/>
        <v>119517.64000000001</v>
      </c>
      <c r="P78" s="2">
        <v>194</v>
      </c>
    </row>
    <row r="79" spans="1:16" ht="13.5" customHeight="1" outlineLevel="2">
      <c r="A79" s="2" t="s">
        <v>88</v>
      </c>
      <c r="B79" s="2">
        <v>6011070002</v>
      </c>
      <c r="C79" s="2" t="s">
        <v>90</v>
      </c>
      <c r="D79" s="3">
        <v>0</v>
      </c>
      <c r="E79" s="3">
        <f>3283.02+339</f>
        <v>3622.02</v>
      </c>
      <c r="F79" s="14">
        <f>24192.6+8456.99</f>
        <v>32649.589999999997</v>
      </c>
      <c r="G79" s="14">
        <f>17520+5840</f>
        <v>23360</v>
      </c>
      <c r="H79" s="3">
        <f t="shared" si="3"/>
        <v>59631.60999999999</v>
      </c>
      <c r="I79" s="3">
        <v>0</v>
      </c>
      <c r="J79" s="3">
        <v>0</v>
      </c>
      <c r="K79" s="3">
        <v>81722</v>
      </c>
      <c r="L79" s="3">
        <v>0</v>
      </c>
      <c r="M79" s="3">
        <v>0</v>
      </c>
      <c r="N79" s="3">
        <f t="shared" si="4"/>
        <v>81722</v>
      </c>
      <c r="O79" s="3">
        <f t="shared" si="5"/>
        <v>141353.61</v>
      </c>
      <c r="P79" s="2">
        <v>240</v>
      </c>
    </row>
    <row r="80" spans="1:16" ht="13.5" customHeight="1" outlineLevel="2">
      <c r="A80" s="2" t="s">
        <v>88</v>
      </c>
      <c r="B80" s="2">
        <v>6011070003</v>
      </c>
      <c r="C80" s="2" t="s">
        <v>91</v>
      </c>
      <c r="D80" s="3">
        <v>0</v>
      </c>
      <c r="E80" s="3">
        <v>0</v>
      </c>
      <c r="F80" s="3">
        <v>0</v>
      </c>
      <c r="G80" s="3">
        <v>16800</v>
      </c>
      <c r="H80" s="3">
        <f t="shared" si="3"/>
        <v>16800</v>
      </c>
      <c r="I80" s="3">
        <v>0</v>
      </c>
      <c r="J80" s="3">
        <v>0</v>
      </c>
      <c r="K80" s="3">
        <v>0</v>
      </c>
      <c r="L80" s="3">
        <v>0</v>
      </c>
      <c r="M80" s="3">
        <v>8812.12</v>
      </c>
      <c r="N80" s="3">
        <f t="shared" si="4"/>
        <v>8812.12</v>
      </c>
      <c r="O80" s="3">
        <f t="shared" si="5"/>
        <v>25612.120000000003</v>
      </c>
      <c r="P80" s="2">
        <v>196</v>
      </c>
    </row>
    <row r="81" spans="1:16" ht="13.5" customHeight="1" outlineLevel="2">
      <c r="A81" s="2" t="s">
        <v>88</v>
      </c>
      <c r="B81" s="2">
        <v>6011070004</v>
      </c>
      <c r="C81" s="2" t="s">
        <v>92</v>
      </c>
      <c r="D81" s="3">
        <v>0</v>
      </c>
      <c r="E81" s="3">
        <f>133977.63+700+1441.13</f>
        <v>136118.76</v>
      </c>
      <c r="F81" s="3">
        <f>52491.87+12856.85+8359.1</f>
        <v>73707.82</v>
      </c>
      <c r="G81" s="3">
        <f>11250+8750+5000+5000</f>
        <v>30000</v>
      </c>
      <c r="H81" s="3">
        <f t="shared" si="3"/>
        <v>239826.58000000002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f t="shared" si="4"/>
        <v>0</v>
      </c>
      <c r="O81" s="3">
        <f t="shared" si="5"/>
        <v>239826.58000000002</v>
      </c>
      <c r="P81" s="2">
        <v>197</v>
      </c>
    </row>
    <row r="82" spans="1:16" ht="13.5" customHeight="1" outlineLevel="2">
      <c r="A82" s="2" t="s">
        <v>88</v>
      </c>
      <c r="B82" s="2">
        <v>6011070005</v>
      </c>
      <c r="C82" s="2" t="s">
        <v>93</v>
      </c>
      <c r="D82" s="3">
        <v>0</v>
      </c>
      <c r="E82" s="3">
        <f>9770+334.1</f>
        <v>10104.1</v>
      </c>
      <c r="F82" s="3">
        <f>38796.24+3800+4173.32</f>
        <v>46769.56</v>
      </c>
      <c r="G82" s="3">
        <f>14000+8000+8000</f>
        <v>30000</v>
      </c>
      <c r="H82" s="3">
        <f t="shared" si="3"/>
        <v>86873.66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f t="shared" si="4"/>
        <v>0</v>
      </c>
      <c r="O82" s="3">
        <f t="shared" si="5"/>
        <v>86873.66</v>
      </c>
      <c r="P82" s="2">
        <v>198</v>
      </c>
    </row>
    <row r="83" spans="1:16" ht="13.5" customHeight="1" outlineLevel="2">
      <c r="A83" s="2" t="s">
        <v>88</v>
      </c>
      <c r="B83" s="2">
        <v>6011070006</v>
      </c>
      <c r="C83" s="2" t="s">
        <v>94</v>
      </c>
      <c r="D83" s="3">
        <v>0</v>
      </c>
      <c r="E83" s="3">
        <v>0</v>
      </c>
      <c r="F83" s="3">
        <f>25762.33+7737.67</f>
        <v>33500</v>
      </c>
      <c r="G83" s="3">
        <v>0</v>
      </c>
      <c r="H83" s="3">
        <f t="shared" si="3"/>
        <v>33500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f t="shared" si="4"/>
        <v>0</v>
      </c>
      <c r="O83" s="3">
        <f t="shared" si="5"/>
        <v>33500</v>
      </c>
      <c r="P83" s="2">
        <v>199</v>
      </c>
    </row>
    <row r="84" spans="1:16" ht="13.5" customHeight="1" outlineLevel="2">
      <c r="A84" s="2" t="s">
        <v>88</v>
      </c>
      <c r="B84" s="2">
        <v>6011070007</v>
      </c>
      <c r="C84" s="2" t="s">
        <v>95</v>
      </c>
      <c r="D84" s="3">
        <v>0</v>
      </c>
      <c r="E84" s="3">
        <v>0</v>
      </c>
      <c r="F84" s="3">
        <f>77803.7+1431-13296.31</f>
        <v>65938.39</v>
      </c>
      <c r="G84" s="3">
        <f>57056+23360+23360+23360</f>
        <v>127136</v>
      </c>
      <c r="H84" s="3">
        <f t="shared" si="3"/>
        <v>193074.39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f t="shared" si="4"/>
        <v>0</v>
      </c>
      <c r="O84" s="3">
        <f t="shared" si="5"/>
        <v>193074.39</v>
      </c>
      <c r="P84" s="2">
        <v>200</v>
      </c>
    </row>
    <row r="85" spans="1:16" ht="13.5" customHeight="1" outlineLevel="2">
      <c r="A85" s="2" t="s">
        <v>88</v>
      </c>
      <c r="B85" s="2">
        <v>6011070008</v>
      </c>
      <c r="C85" s="2" t="s">
        <v>96</v>
      </c>
      <c r="D85" s="3">
        <v>0</v>
      </c>
      <c r="E85" s="3">
        <v>0</v>
      </c>
      <c r="F85" s="3">
        <f>75104.94+0.25</f>
        <v>75105.19</v>
      </c>
      <c r="G85" s="3">
        <v>0</v>
      </c>
      <c r="H85" s="3">
        <f t="shared" si="3"/>
        <v>75105.19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f t="shared" si="4"/>
        <v>0</v>
      </c>
      <c r="O85" s="11">
        <f t="shared" si="5"/>
        <v>75105.19</v>
      </c>
      <c r="P85" s="2">
        <v>201</v>
      </c>
    </row>
    <row r="86" spans="1:16" ht="13.5" customHeight="1" outlineLevel="2">
      <c r="A86" s="2" t="s">
        <v>88</v>
      </c>
      <c r="B86" s="2">
        <v>6011070009</v>
      </c>
      <c r="C86" s="2" t="s">
        <v>97</v>
      </c>
      <c r="D86" s="3">
        <v>0</v>
      </c>
      <c r="E86" s="3">
        <v>0</v>
      </c>
      <c r="F86" s="3">
        <f>180766.34+0.78</f>
        <v>180767.12</v>
      </c>
      <c r="G86" s="3">
        <v>0</v>
      </c>
      <c r="H86" s="3">
        <f t="shared" si="3"/>
        <v>180767.12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f t="shared" si="4"/>
        <v>0</v>
      </c>
      <c r="O86" s="3">
        <f t="shared" si="5"/>
        <v>180767.12</v>
      </c>
      <c r="P86" s="2">
        <v>202</v>
      </c>
    </row>
    <row r="87" spans="1:16" ht="13.5" customHeight="1" outlineLevel="2">
      <c r="A87" s="2" t="s">
        <v>88</v>
      </c>
      <c r="B87" s="2">
        <v>6011070010</v>
      </c>
      <c r="C87" s="2" t="s">
        <v>98</v>
      </c>
      <c r="D87" s="3">
        <v>0</v>
      </c>
      <c r="E87" s="3">
        <v>0</v>
      </c>
      <c r="F87" s="3">
        <v>15032.55</v>
      </c>
      <c r="G87" s="3">
        <v>14532</v>
      </c>
      <c r="H87" s="3">
        <f t="shared" si="3"/>
        <v>29564.55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f t="shared" si="4"/>
        <v>0</v>
      </c>
      <c r="O87" s="3">
        <f t="shared" si="5"/>
        <v>29564.55</v>
      </c>
      <c r="P87" s="2">
        <v>203</v>
      </c>
    </row>
    <row r="88" spans="1:16" ht="13.5" customHeight="1" outlineLevel="2">
      <c r="A88" s="2" t="s">
        <v>88</v>
      </c>
      <c r="B88" s="2">
        <v>6011070011</v>
      </c>
      <c r="C88" s="2" t="s">
        <v>99</v>
      </c>
      <c r="D88" s="3">
        <v>0</v>
      </c>
      <c r="E88" s="3">
        <v>31933.46</v>
      </c>
      <c r="F88" s="3">
        <f>40008.76</f>
        <v>40008.76</v>
      </c>
      <c r="G88" s="3">
        <v>0</v>
      </c>
      <c r="H88" s="3">
        <f t="shared" si="3"/>
        <v>71942.22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f t="shared" si="4"/>
        <v>0</v>
      </c>
      <c r="O88" s="3">
        <f t="shared" si="5"/>
        <v>71942.22</v>
      </c>
      <c r="P88" s="2">
        <v>204</v>
      </c>
    </row>
    <row r="89" spans="1:16" ht="13.5" customHeight="1" outlineLevel="2">
      <c r="A89" s="2" t="s">
        <v>88</v>
      </c>
      <c r="B89" s="2">
        <v>6011070012</v>
      </c>
      <c r="C89" s="2" t="s">
        <v>100</v>
      </c>
      <c r="D89" s="3">
        <v>0</v>
      </c>
      <c r="E89" s="3">
        <f>824.57+1899</f>
        <v>2723.57</v>
      </c>
      <c r="F89" s="3">
        <f>162117.81-7867.62+63983.24+23169.37</f>
        <v>241402.8</v>
      </c>
      <c r="G89" s="3">
        <f>33696+17520+5840</f>
        <v>57056</v>
      </c>
      <c r="H89" s="3">
        <f t="shared" si="3"/>
        <v>301182.37</v>
      </c>
      <c r="I89" s="3">
        <v>0</v>
      </c>
      <c r="J89" s="3">
        <f>-533.61</f>
        <v>-533.61</v>
      </c>
      <c r="K89" s="3">
        <v>0</v>
      </c>
      <c r="L89" s="3">
        <v>0</v>
      </c>
      <c r="M89" s="3">
        <v>0</v>
      </c>
      <c r="N89" s="3">
        <f t="shared" si="4"/>
        <v>-533.61</v>
      </c>
      <c r="O89" s="3">
        <f t="shared" si="5"/>
        <v>300648.76</v>
      </c>
      <c r="P89" s="2">
        <v>223</v>
      </c>
    </row>
    <row r="90" spans="1:16" ht="13.5" customHeight="1" outlineLevel="2">
      <c r="A90" s="2" t="s">
        <v>88</v>
      </c>
      <c r="B90" s="2">
        <v>6011070013</v>
      </c>
      <c r="C90" s="2" t="s">
        <v>101</v>
      </c>
      <c r="D90" s="3">
        <v>0</v>
      </c>
      <c r="E90" s="3">
        <v>16596.68</v>
      </c>
      <c r="F90" s="3">
        <f>124889.91</f>
        <v>124889.91</v>
      </c>
      <c r="G90" s="3">
        <v>5616</v>
      </c>
      <c r="H90" s="3">
        <f t="shared" si="3"/>
        <v>147102.59</v>
      </c>
      <c r="I90" s="3">
        <v>0</v>
      </c>
      <c r="J90" s="3">
        <v>69551.4</v>
      </c>
      <c r="K90" s="3">
        <v>0</v>
      </c>
      <c r="L90" s="3">
        <v>0</v>
      </c>
      <c r="M90" s="3">
        <v>0</v>
      </c>
      <c r="N90" s="3">
        <f t="shared" si="4"/>
        <v>69551.4</v>
      </c>
      <c r="O90" s="3">
        <f t="shared" si="5"/>
        <v>216653.99</v>
      </c>
      <c r="P90" s="2">
        <v>213</v>
      </c>
    </row>
    <row r="91" spans="1:16" ht="13.5" customHeight="1" outlineLevel="2">
      <c r="A91" s="2" t="s">
        <v>88</v>
      </c>
      <c r="B91" s="2">
        <v>6011070014</v>
      </c>
      <c r="C91" s="2" t="s">
        <v>102</v>
      </c>
      <c r="D91" s="3">
        <v>0</v>
      </c>
      <c r="E91" s="3">
        <f>5951.72-12.54</f>
        <v>5939.18</v>
      </c>
      <c r="F91" s="3">
        <f>21.85+0.04</f>
        <v>21.89</v>
      </c>
      <c r="G91" s="3">
        <v>0</v>
      </c>
      <c r="H91" s="3">
        <f t="shared" si="3"/>
        <v>5961.070000000001</v>
      </c>
      <c r="I91" s="3">
        <v>0</v>
      </c>
      <c r="J91" s="3">
        <v>20000</v>
      </c>
      <c r="K91" s="3">
        <v>179985.48</v>
      </c>
      <c r="L91" s="3">
        <v>0</v>
      </c>
      <c r="M91" s="3">
        <v>0</v>
      </c>
      <c r="N91" s="3">
        <f t="shared" si="4"/>
        <v>199985.48</v>
      </c>
      <c r="O91" s="3">
        <f t="shared" si="5"/>
        <v>205946.55000000002</v>
      </c>
      <c r="P91" s="2">
        <v>234</v>
      </c>
    </row>
    <row r="92" spans="1:16" ht="13.5" customHeight="1" outlineLevel="2">
      <c r="A92" s="2" t="s">
        <v>88</v>
      </c>
      <c r="B92" s="2">
        <v>6011070015</v>
      </c>
      <c r="C92" s="2" t="s">
        <v>103</v>
      </c>
      <c r="D92" s="3">
        <v>0</v>
      </c>
      <c r="E92" s="3">
        <v>0</v>
      </c>
      <c r="F92" s="3">
        <f>11978.42+23+23+46</f>
        <v>12070.42</v>
      </c>
      <c r="G92" s="3">
        <v>17520</v>
      </c>
      <c r="H92" s="3">
        <f t="shared" si="3"/>
        <v>29590.42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f t="shared" si="4"/>
        <v>0</v>
      </c>
      <c r="O92" s="3">
        <f t="shared" si="5"/>
        <v>29590.42</v>
      </c>
      <c r="P92" s="2">
        <v>235</v>
      </c>
    </row>
    <row r="93" spans="1:16" ht="13.5" customHeight="1" outlineLevel="2">
      <c r="A93" s="2" t="s">
        <v>88</v>
      </c>
      <c r="B93" s="2">
        <v>6011070016</v>
      </c>
      <c r="C93" s="2" t="s">
        <v>104</v>
      </c>
      <c r="D93" s="3">
        <v>0</v>
      </c>
      <c r="E93" s="3">
        <v>1788</v>
      </c>
      <c r="F93" s="3">
        <f>72999.26+11181.8+28105.57+23</f>
        <v>112309.63</v>
      </c>
      <c r="G93" s="3">
        <v>64584</v>
      </c>
      <c r="H93" s="3">
        <f t="shared" si="3"/>
        <v>178681.63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f t="shared" si="4"/>
        <v>0</v>
      </c>
      <c r="O93" s="3">
        <f t="shared" si="5"/>
        <v>178681.63</v>
      </c>
      <c r="P93" s="2">
        <v>236</v>
      </c>
    </row>
    <row r="94" spans="1:16" ht="13.5" customHeight="1" outlineLevel="2">
      <c r="A94" s="2" t="s">
        <v>88</v>
      </c>
      <c r="B94" s="2">
        <v>6011070017</v>
      </c>
      <c r="C94" s="2" t="s">
        <v>105</v>
      </c>
      <c r="D94" s="3">
        <v>0</v>
      </c>
      <c r="E94" s="3">
        <v>9107.45</v>
      </c>
      <c r="F94" s="3">
        <f>63710.71-3147.46</f>
        <v>60563.25</v>
      </c>
      <c r="G94" s="3">
        <v>0</v>
      </c>
      <c r="H94" s="3">
        <f t="shared" si="3"/>
        <v>69670.7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f t="shared" si="4"/>
        <v>0</v>
      </c>
      <c r="O94" s="3">
        <f t="shared" si="5"/>
        <v>69670.7</v>
      </c>
      <c r="P94" s="2">
        <v>237</v>
      </c>
    </row>
    <row r="95" spans="1:16" ht="13.5" customHeight="1" outlineLevel="2">
      <c r="A95" s="2" t="s">
        <v>88</v>
      </c>
      <c r="B95" s="2">
        <v>6011070018</v>
      </c>
      <c r="C95" s="2" t="s">
        <v>106</v>
      </c>
      <c r="D95" s="3">
        <v>0</v>
      </c>
      <c r="E95" s="3">
        <v>0</v>
      </c>
      <c r="F95" s="3">
        <f>55449.47-833+1442</f>
        <v>56058.47</v>
      </c>
      <c r="G95" s="3">
        <v>0</v>
      </c>
      <c r="H95" s="3">
        <f t="shared" si="3"/>
        <v>56058.47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f t="shared" si="4"/>
        <v>0</v>
      </c>
      <c r="O95" s="3">
        <f t="shared" si="5"/>
        <v>56058.47</v>
      </c>
      <c r="P95" s="2">
        <v>238</v>
      </c>
    </row>
    <row r="96" spans="1:16" ht="13.5" customHeight="1" outlineLevel="2">
      <c r="A96" s="2" t="s">
        <v>88</v>
      </c>
      <c r="B96" s="2">
        <v>6011070019</v>
      </c>
      <c r="C96" s="2" t="s">
        <v>107</v>
      </c>
      <c r="D96" s="3">
        <v>0</v>
      </c>
      <c r="E96" s="3">
        <v>0</v>
      </c>
      <c r="F96" s="3">
        <f>37395.98+13900.27+11600.92</f>
        <v>62897.17</v>
      </c>
      <c r="G96" s="3">
        <v>8142</v>
      </c>
      <c r="H96" s="3">
        <f t="shared" si="3"/>
        <v>71039.17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f t="shared" si="4"/>
        <v>0</v>
      </c>
      <c r="O96" s="3">
        <f t="shared" si="5"/>
        <v>71039.17</v>
      </c>
      <c r="P96" s="2">
        <v>239</v>
      </c>
    </row>
    <row r="97" spans="1:16" ht="13.5" customHeight="1" outlineLevel="2">
      <c r="A97" s="2" t="s">
        <v>88</v>
      </c>
      <c r="B97" s="2">
        <v>6011070020</v>
      </c>
      <c r="C97" s="2" t="s">
        <v>108</v>
      </c>
      <c r="D97" s="3">
        <v>0</v>
      </c>
      <c r="E97" s="3">
        <f>202754.21+14531.69+6441.2+3226.55</f>
        <v>226953.65</v>
      </c>
      <c r="F97" s="3">
        <f>26913.42+243-8123.75</f>
        <v>19032.67</v>
      </c>
      <c r="G97" s="3">
        <f>8000+20000+10000</f>
        <v>38000</v>
      </c>
      <c r="H97" s="3">
        <f t="shared" si="3"/>
        <v>283986.32</v>
      </c>
      <c r="I97" s="3">
        <v>0</v>
      </c>
      <c r="J97" s="3">
        <v>27832.36</v>
      </c>
      <c r="K97" s="3">
        <f>534864.57+29468.45+18323.63+1474.14</f>
        <v>584130.7899999999</v>
      </c>
      <c r="L97" s="3">
        <v>0</v>
      </c>
      <c r="M97" s="3">
        <v>0</v>
      </c>
      <c r="N97" s="3">
        <f t="shared" si="4"/>
        <v>611963.1499999999</v>
      </c>
      <c r="O97" s="3">
        <f t="shared" si="5"/>
        <v>895949.47</v>
      </c>
      <c r="P97" s="2">
        <v>230</v>
      </c>
    </row>
    <row r="98" spans="1:16" ht="13.5" customHeight="1" outlineLevel="2">
      <c r="A98" s="2" t="s">
        <v>88</v>
      </c>
      <c r="B98" s="2">
        <v>6011070021</v>
      </c>
      <c r="C98" s="2" t="s">
        <v>109</v>
      </c>
      <c r="D98" s="3">
        <v>0</v>
      </c>
      <c r="E98" s="3">
        <f>5137</f>
        <v>5137</v>
      </c>
      <c r="F98" s="3">
        <f>48695.63+7804.24</f>
        <v>56499.869999999995</v>
      </c>
      <c r="G98" s="3">
        <v>0</v>
      </c>
      <c r="H98" s="3">
        <f t="shared" si="3"/>
        <v>61636.869999999995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f t="shared" si="4"/>
        <v>0</v>
      </c>
      <c r="O98" s="3">
        <f t="shared" si="5"/>
        <v>61636.869999999995</v>
      </c>
      <c r="P98" s="2">
        <v>231</v>
      </c>
    </row>
    <row r="99" spans="1:16" ht="13.5" customHeight="1" outlineLevel="2">
      <c r="A99" s="2" t="s">
        <v>88</v>
      </c>
      <c r="B99" s="2">
        <v>6011070022</v>
      </c>
      <c r="C99" s="2" t="s">
        <v>110</v>
      </c>
      <c r="D99" s="3">
        <v>0</v>
      </c>
      <c r="E99" s="3">
        <f>4295.38</f>
        <v>4295.38</v>
      </c>
      <c r="F99" s="3">
        <f>79310.92+17000+4449.42+4700.64+6.9</f>
        <v>105467.87999999999</v>
      </c>
      <c r="G99" s="3">
        <f>21680.4+5000</f>
        <v>26680.4</v>
      </c>
      <c r="H99" s="3">
        <f t="shared" si="3"/>
        <v>136443.66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f t="shared" si="4"/>
        <v>0</v>
      </c>
      <c r="O99" s="3">
        <f t="shared" si="5"/>
        <v>136443.66</v>
      </c>
      <c r="P99" s="2">
        <v>242</v>
      </c>
    </row>
    <row r="100" spans="1:16" ht="13.5" customHeight="1" outlineLevel="2">
      <c r="A100" s="2" t="s">
        <v>88</v>
      </c>
      <c r="B100" s="2">
        <v>6011070023</v>
      </c>
      <c r="C100" s="2" t="s">
        <v>111</v>
      </c>
      <c r="D100" s="3">
        <v>0</v>
      </c>
      <c r="E100" s="3">
        <f>60563.18+3248.93+529.38+2489.01</f>
        <v>66830.5</v>
      </c>
      <c r="F100" s="3">
        <f>46865.14+1865.5+13.8</f>
        <v>48744.44</v>
      </c>
      <c r="G100" s="3">
        <f>5840+14600+14600</f>
        <v>35040</v>
      </c>
      <c r="H100" s="3">
        <f t="shared" si="3"/>
        <v>150614.94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f t="shared" si="4"/>
        <v>0</v>
      </c>
      <c r="O100" s="3">
        <f t="shared" si="5"/>
        <v>150614.94</v>
      </c>
      <c r="P100" s="2">
        <v>232</v>
      </c>
    </row>
    <row r="101" spans="1:16" ht="13.5" customHeight="1" outlineLevel="2">
      <c r="A101" s="2" t="s">
        <v>88</v>
      </c>
      <c r="B101" s="2">
        <v>6011070024</v>
      </c>
      <c r="C101" s="2" t="s">
        <v>112</v>
      </c>
      <c r="D101" s="3">
        <v>0</v>
      </c>
      <c r="E101" s="3">
        <f>11209.87</f>
        <v>11209.87</v>
      </c>
      <c r="F101" s="3">
        <f>57176.54+40000</f>
        <v>97176.54000000001</v>
      </c>
      <c r="G101" s="3">
        <v>0</v>
      </c>
      <c r="H101" s="3">
        <f t="shared" si="3"/>
        <v>108386.41</v>
      </c>
      <c r="I101" s="3">
        <v>0</v>
      </c>
      <c r="J101" s="3">
        <v>62630.01</v>
      </c>
      <c r="K101" s="3">
        <f>76956.8</f>
        <v>76956.8</v>
      </c>
      <c r="L101" s="3">
        <v>0</v>
      </c>
      <c r="M101" s="3">
        <v>0</v>
      </c>
      <c r="N101" s="3">
        <f t="shared" si="4"/>
        <v>139586.81</v>
      </c>
      <c r="O101" s="3">
        <f t="shared" si="5"/>
        <v>247973.22</v>
      </c>
      <c r="P101" s="2">
        <v>233</v>
      </c>
    </row>
    <row r="102" spans="1:16" ht="13.5" customHeight="1" outlineLevel="2">
      <c r="A102" s="2" t="s">
        <v>88</v>
      </c>
      <c r="B102" s="2">
        <v>6011070025</v>
      </c>
      <c r="C102" s="2" t="s">
        <v>113</v>
      </c>
      <c r="D102" s="3">
        <v>0</v>
      </c>
      <c r="E102" s="3">
        <f>4505.9+119887.5+8007.34+7100</f>
        <v>139500.74</v>
      </c>
      <c r="F102" s="3">
        <f>22889.48+5625</f>
        <v>28514.48</v>
      </c>
      <c r="G102" s="3">
        <v>0</v>
      </c>
      <c r="H102" s="3">
        <f t="shared" si="3"/>
        <v>168015.22</v>
      </c>
      <c r="I102" s="3">
        <v>0</v>
      </c>
      <c r="J102" s="3">
        <f>493906.61-466980.1</f>
        <v>26926.51000000001</v>
      </c>
      <c r="K102" s="3">
        <v>466980.1</v>
      </c>
      <c r="L102" s="3">
        <v>0</v>
      </c>
      <c r="M102" s="3">
        <v>0</v>
      </c>
      <c r="N102" s="3">
        <f t="shared" si="4"/>
        <v>493906.61</v>
      </c>
      <c r="O102" s="3">
        <f t="shared" si="5"/>
        <v>661921.83</v>
      </c>
      <c r="P102" s="2">
        <v>244</v>
      </c>
    </row>
    <row r="103" spans="1:16" ht="13.5" customHeight="1" outlineLevel="2">
      <c r="A103" s="2" t="s">
        <v>88</v>
      </c>
      <c r="B103" s="2">
        <v>6011070026</v>
      </c>
      <c r="C103" s="2" t="s">
        <v>114</v>
      </c>
      <c r="D103" s="3">
        <v>0</v>
      </c>
      <c r="E103" s="3">
        <v>0</v>
      </c>
      <c r="F103" s="3">
        <f>168181.85-15166.06+6900+5316.13</f>
        <v>165231.92</v>
      </c>
      <c r="G103" s="3">
        <v>0</v>
      </c>
      <c r="H103" s="3">
        <f t="shared" si="3"/>
        <v>165231.92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f t="shared" si="4"/>
        <v>0</v>
      </c>
      <c r="O103" s="3">
        <f t="shared" si="5"/>
        <v>165231.92</v>
      </c>
      <c r="P103" s="2">
        <v>243</v>
      </c>
    </row>
    <row r="104" spans="1:16" ht="13.5" customHeight="1" outlineLevel="2">
      <c r="A104" s="2" t="s">
        <v>88</v>
      </c>
      <c r="B104" s="2">
        <v>6011070027</v>
      </c>
      <c r="C104" s="2" t="s">
        <v>115</v>
      </c>
      <c r="D104" s="3">
        <v>0</v>
      </c>
      <c r="E104" s="3">
        <v>0</v>
      </c>
      <c r="F104" s="3">
        <f>67872.41+5525.73+433.25+3683.35</f>
        <v>77514.74</v>
      </c>
      <c r="G104" s="3">
        <f>37500+25000</f>
        <v>62500</v>
      </c>
      <c r="H104" s="3">
        <f>D104+E104+F104+G104</f>
        <v>140014.74</v>
      </c>
      <c r="I104" s="3">
        <v>0</v>
      </c>
      <c r="J104" s="3">
        <f>67759.48</f>
        <v>67759.48</v>
      </c>
      <c r="K104" s="3">
        <f>414520.24+80828.66+9124.01</f>
        <v>504472.91000000003</v>
      </c>
      <c r="L104" s="3">
        <v>0</v>
      </c>
      <c r="M104" s="3">
        <v>0</v>
      </c>
      <c r="N104" s="3">
        <f t="shared" si="4"/>
        <v>572232.39</v>
      </c>
      <c r="O104" s="3">
        <f t="shared" si="5"/>
        <v>712247.13</v>
      </c>
      <c r="P104" s="2"/>
    </row>
    <row r="105" spans="1:16" ht="13.5" customHeight="1" outlineLevel="2">
      <c r="A105" s="2" t="s">
        <v>88</v>
      </c>
      <c r="B105" s="2">
        <v>6011070032</v>
      </c>
      <c r="C105" s="2" t="s">
        <v>148</v>
      </c>
      <c r="D105" s="3">
        <v>0</v>
      </c>
      <c r="E105" s="14">
        <v>29839.39</v>
      </c>
      <c r="F105" s="14">
        <v>0</v>
      </c>
      <c r="G105" s="3">
        <v>0</v>
      </c>
      <c r="H105" s="3">
        <f>D105+E105+F105+G105</f>
        <v>29839.39</v>
      </c>
      <c r="I105" s="3">
        <v>0</v>
      </c>
      <c r="J105" s="3">
        <v>23209.72</v>
      </c>
      <c r="K105" s="3">
        <v>0</v>
      </c>
      <c r="L105" s="3">
        <v>0</v>
      </c>
      <c r="M105" s="3">
        <v>0</v>
      </c>
      <c r="N105" s="3">
        <f t="shared" si="4"/>
        <v>23209.72</v>
      </c>
      <c r="O105" s="3">
        <f t="shared" si="5"/>
        <v>53049.11</v>
      </c>
      <c r="P105" s="2"/>
    </row>
    <row r="106" spans="1:16" ht="13.5" customHeight="1" outlineLevel="2">
      <c r="A106" s="2" t="s">
        <v>88</v>
      </c>
      <c r="B106" s="2">
        <v>6011070033</v>
      </c>
      <c r="C106" s="2" t="s">
        <v>149</v>
      </c>
      <c r="D106" s="3">
        <v>0</v>
      </c>
      <c r="E106" s="3">
        <v>0</v>
      </c>
      <c r="F106" s="3">
        <v>0</v>
      </c>
      <c r="G106" s="3">
        <v>0</v>
      </c>
      <c r="H106" s="3">
        <f t="shared" si="3"/>
        <v>0</v>
      </c>
      <c r="I106" s="3">
        <v>0</v>
      </c>
      <c r="J106" s="3">
        <v>32795.95</v>
      </c>
      <c r="K106" s="3">
        <v>59410.83</v>
      </c>
      <c r="L106" s="3">
        <v>0</v>
      </c>
      <c r="M106" s="3">
        <v>0</v>
      </c>
      <c r="N106" s="3">
        <f t="shared" si="4"/>
        <v>92206.78</v>
      </c>
      <c r="O106" s="3">
        <f t="shared" si="5"/>
        <v>92206.78</v>
      </c>
      <c r="P106" s="2">
        <v>262</v>
      </c>
    </row>
    <row r="107" spans="1:16" ht="13.5" customHeight="1" outlineLevel="1">
      <c r="A107" s="8" t="s">
        <v>140</v>
      </c>
      <c r="B107" s="8"/>
      <c r="C107" s="8"/>
      <c r="D107" s="7">
        <f aca="true" t="shared" si="7" ref="D107:N107">SUBTOTAL(9,D78:D106)</f>
        <v>0</v>
      </c>
      <c r="E107" s="7">
        <f t="shared" si="7"/>
        <v>708475.75</v>
      </c>
      <c r="F107" s="7">
        <f t="shared" si="7"/>
        <v>1930576.7</v>
      </c>
      <c r="G107" s="7">
        <f t="shared" si="7"/>
        <v>571006.4</v>
      </c>
      <c r="H107" s="7">
        <f t="shared" si="7"/>
        <v>3210058.85</v>
      </c>
      <c r="I107" s="7">
        <f t="shared" si="7"/>
        <v>0</v>
      </c>
      <c r="J107" s="7">
        <f t="shared" si="7"/>
        <v>330171.82</v>
      </c>
      <c r="K107" s="7">
        <f t="shared" si="7"/>
        <v>1953658.9100000001</v>
      </c>
      <c r="L107" s="7">
        <f t="shared" si="7"/>
        <v>0</v>
      </c>
      <c r="M107" s="7">
        <f t="shared" si="7"/>
        <v>8812.12</v>
      </c>
      <c r="N107" s="7">
        <f t="shared" si="7"/>
        <v>2292642.85</v>
      </c>
      <c r="O107" s="7">
        <f>H107+N107</f>
        <v>5502701.7</v>
      </c>
      <c r="P107" s="2"/>
    </row>
    <row r="108" spans="1:16" ht="13.5" customHeight="1" outlineLevel="2">
      <c r="A108" s="2" t="s">
        <v>116</v>
      </c>
      <c r="B108" s="2">
        <v>6011470001</v>
      </c>
      <c r="C108" s="2" t="s">
        <v>117</v>
      </c>
      <c r="D108" s="3">
        <v>0</v>
      </c>
      <c r="E108" s="3">
        <v>-0.1</v>
      </c>
      <c r="F108" s="3">
        <v>0</v>
      </c>
      <c r="G108" s="3">
        <v>0</v>
      </c>
      <c r="H108" s="3">
        <f t="shared" si="3"/>
        <v>-0.1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f t="shared" si="4"/>
        <v>0</v>
      </c>
      <c r="O108" s="3">
        <f t="shared" si="5"/>
        <v>-0.1</v>
      </c>
      <c r="P108" s="2">
        <v>161</v>
      </c>
    </row>
    <row r="109" spans="1:16" ht="13.5" customHeight="1" outlineLevel="2">
      <c r="A109" s="2" t="s">
        <v>116</v>
      </c>
      <c r="B109" s="2">
        <v>6011470002</v>
      </c>
      <c r="C109" s="2" t="s">
        <v>118</v>
      </c>
      <c r="D109" s="3">
        <v>0</v>
      </c>
      <c r="E109" s="3">
        <f>78565.96+62843.52+37667.2-833.37</f>
        <v>178243.31</v>
      </c>
      <c r="F109" s="3">
        <f>-93.67+161239.93+132383.75+115681.7</f>
        <v>409211.71</v>
      </c>
      <c r="G109" s="3">
        <v>0</v>
      </c>
      <c r="H109" s="3">
        <f t="shared" si="3"/>
        <v>587455.02</v>
      </c>
      <c r="I109" s="3">
        <f>11409.86+3770.48</f>
        <v>15180.34</v>
      </c>
      <c r="J109" s="3">
        <v>0</v>
      </c>
      <c r="K109" s="3">
        <v>0</v>
      </c>
      <c r="L109" s="3">
        <v>0</v>
      </c>
      <c r="M109" s="3">
        <v>0</v>
      </c>
      <c r="N109" s="3">
        <f t="shared" si="4"/>
        <v>15180.34</v>
      </c>
      <c r="O109" s="3">
        <f t="shared" si="5"/>
        <v>602635.36</v>
      </c>
      <c r="P109" s="2">
        <v>164</v>
      </c>
    </row>
    <row r="110" spans="1:16" ht="13.5" customHeight="1" outlineLevel="2">
      <c r="A110" s="2" t="s">
        <v>116</v>
      </c>
      <c r="B110" s="2">
        <v>6011470003</v>
      </c>
      <c r="C110" s="2" t="s">
        <v>119</v>
      </c>
      <c r="D110" s="3">
        <v>-6724.94</v>
      </c>
      <c r="E110" s="3">
        <f>2070</f>
        <v>2070</v>
      </c>
      <c r="F110" s="3">
        <v>31682.5</v>
      </c>
      <c r="G110" s="3">
        <v>0</v>
      </c>
      <c r="H110" s="3">
        <f t="shared" si="3"/>
        <v>27027.56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f t="shared" si="4"/>
        <v>0</v>
      </c>
      <c r="O110" s="3">
        <f t="shared" si="5"/>
        <v>27027.56</v>
      </c>
      <c r="P110" s="2">
        <v>165</v>
      </c>
    </row>
    <row r="111" spans="1:16" ht="13.5" customHeight="1" outlineLevel="2">
      <c r="A111" s="2" t="s">
        <v>116</v>
      </c>
      <c r="B111" s="2">
        <v>6011470004</v>
      </c>
      <c r="C111" s="2" t="s">
        <v>120</v>
      </c>
      <c r="D111" s="3">
        <v>0</v>
      </c>
      <c r="E111" s="3">
        <v>-6000</v>
      </c>
      <c r="F111" s="3">
        <v>0</v>
      </c>
      <c r="G111" s="3">
        <v>0</v>
      </c>
      <c r="H111" s="3">
        <f t="shared" si="3"/>
        <v>-6000</v>
      </c>
      <c r="I111" s="3">
        <f>411.7</f>
        <v>411.7</v>
      </c>
      <c r="J111" s="3">
        <v>0</v>
      </c>
      <c r="K111" s="3">
        <v>0</v>
      </c>
      <c r="L111" s="3">
        <v>0</v>
      </c>
      <c r="M111" s="3">
        <v>0</v>
      </c>
      <c r="N111" s="3">
        <f t="shared" si="4"/>
        <v>411.7</v>
      </c>
      <c r="O111" s="3">
        <f t="shared" si="5"/>
        <v>-5588.3</v>
      </c>
      <c r="P111" s="2">
        <v>160</v>
      </c>
    </row>
    <row r="112" spans="1:16" ht="13.5" customHeight="1" outlineLevel="2">
      <c r="A112" s="2" t="s">
        <v>116</v>
      </c>
      <c r="B112" s="2">
        <v>6011470005</v>
      </c>
      <c r="C112" s="2" t="s">
        <v>121</v>
      </c>
      <c r="D112" s="3">
        <v>0</v>
      </c>
      <c r="E112" s="3">
        <f>115470.49+1082.72</f>
        <v>116553.21</v>
      </c>
      <c r="F112" s="3">
        <f>33255.63+24394.35-1862</f>
        <v>55787.979999999996</v>
      </c>
      <c r="G112" s="3">
        <v>0</v>
      </c>
      <c r="H112" s="3">
        <f t="shared" si="3"/>
        <v>172341.19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f t="shared" si="4"/>
        <v>0</v>
      </c>
      <c r="O112" s="3">
        <f t="shared" si="5"/>
        <v>172341.19</v>
      </c>
      <c r="P112" s="2">
        <v>162</v>
      </c>
    </row>
    <row r="113" spans="1:16" ht="13.5" customHeight="1" outlineLevel="2">
      <c r="A113" s="2" t="s">
        <v>116</v>
      </c>
      <c r="B113" s="2">
        <v>6011470006</v>
      </c>
      <c r="C113" s="2" t="s">
        <v>122</v>
      </c>
      <c r="D113" s="3">
        <v>0</v>
      </c>
      <c r="E113" s="3">
        <f>24380.58+3228.45+17566.15+77.89</f>
        <v>45253.07000000001</v>
      </c>
      <c r="F113" s="3">
        <f>147948+1250+1651.5</f>
        <v>150849.5</v>
      </c>
      <c r="G113" s="3">
        <v>0</v>
      </c>
      <c r="H113" s="3">
        <f t="shared" si="3"/>
        <v>196102.57</v>
      </c>
      <c r="I113" s="3">
        <v>2185</v>
      </c>
      <c r="J113" s="3">
        <v>0</v>
      </c>
      <c r="K113" s="3">
        <v>0</v>
      </c>
      <c r="L113" s="3">
        <v>0</v>
      </c>
      <c r="M113" s="3">
        <v>0</v>
      </c>
      <c r="N113" s="3">
        <f t="shared" si="4"/>
        <v>2185</v>
      </c>
      <c r="O113" s="3">
        <f t="shared" si="5"/>
        <v>198287.57</v>
      </c>
      <c r="P113" s="2">
        <v>163</v>
      </c>
    </row>
    <row r="114" spans="1:16" ht="13.5" customHeight="1" outlineLevel="2">
      <c r="A114" s="2" t="s">
        <v>116</v>
      </c>
      <c r="B114" s="2">
        <v>6011470007</v>
      </c>
      <c r="C114" s="2" t="s">
        <v>123</v>
      </c>
      <c r="D114" s="3">
        <v>0</v>
      </c>
      <c r="E114" s="3">
        <f>3463.98+5559.57+2799.12</f>
        <v>11822.669999999998</v>
      </c>
      <c r="F114" s="3">
        <f>158631.21+41583.53+18988.4</f>
        <v>219203.13999999998</v>
      </c>
      <c r="G114" s="3">
        <v>65251.55</v>
      </c>
      <c r="H114" s="3">
        <f t="shared" si="3"/>
        <v>296277.36</v>
      </c>
      <c r="I114" s="3">
        <f>61505.43+65703.35+1647.06</f>
        <v>128855.84</v>
      </c>
      <c r="J114" s="3">
        <v>0</v>
      </c>
      <c r="K114" s="3">
        <v>0</v>
      </c>
      <c r="L114" s="3">
        <v>0</v>
      </c>
      <c r="M114" s="3">
        <v>0</v>
      </c>
      <c r="N114" s="3">
        <f t="shared" si="4"/>
        <v>128855.84</v>
      </c>
      <c r="O114" s="11">
        <f t="shared" si="5"/>
        <v>425133.19999999995</v>
      </c>
      <c r="P114" s="2">
        <v>181</v>
      </c>
    </row>
    <row r="115" spans="1:16" ht="13.5" customHeight="1" outlineLevel="2">
      <c r="A115" s="2" t="s">
        <v>116</v>
      </c>
      <c r="B115" s="2">
        <v>6011470008</v>
      </c>
      <c r="C115" s="2" t="s">
        <v>124</v>
      </c>
      <c r="D115" s="3">
        <v>-25.3</v>
      </c>
      <c r="E115" s="3">
        <f>95311.33+783.34</f>
        <v>96094.67</v>
      </c>
      <c r="F115" s="3">
        <f>30562.03+13.8</f>
        <v>30575.829999999998</v>
      </c>
      <c r="G115" s="3">
        <v>0</v>
      </c>
      <c r="H115" s="3">
        <f t="shared" si="3"/>
        <v>126645.2</v>
      </c>
      <c r="I115" s="3">
        <f>91543.63</f>
        <v>91543.63</v>
      </c>
      <c r="J115" s="3">
        <v>0</v>
      </c>
      <c r="K115" s="3">
        <v>0</v>
      </c>
      <c r="L115" s="3">
        <v>0</v>
      </c>
      <c r="M115" s="3">
        <v>0</v>
      </c>
      <c r="N115" s="3">
        <f t="shared" si="4"/>
        <v>91543.63</v>
      </c>
      <c r="O115" s="3">
        <f t="shared" si="5"/>
        <v>218188.83000000002</v>
      </c>
      <c r="P115" s="2">
        <v>219</v>
      </c>
    </row>
    <row r="116" spans="1:16" ht="13.5" customHeight="1" outlineLevel="2">
      <c r="A116" s="2" t="s">
        <v>116</v>
      </c>
      <c r="B116" s="2">
        <v>6011470009</v>
      </c>
      <c r="C116" s="2" t="s">
        <v>125</v>
      </c>
      <c r="D116" s="3">
        <v>0</v>
      </c>
      <c r="E116" s="3">
        <f>26615.7+4152-90.25</f>
        <v>30677.45</v>
      </c>
      <c r="F116" s="3">
        <v>106950</v>
      </c>
      <c r="G116" s="3">
        <v>0</v>
      </c>
      <c r="H116" s="3">
        <f t="shared" si="3"/>
        <v>137627.45</v>
      </c>
      <c r="I116" s="3">
        <f>1606.35+3650</f>
        <v>5256.35</v>
      </c>
      <c r="J116" s="3">
        <v>0</v>
      </c>
      <c r="K116" s="3">
        <v>0</v>
      </c>
      <c r="L116" s="3">
        <v>0</v>
      </c>
      <c r="M116" s="3">
        <v>0</v>
      </c>
      <c r="N116" s="3">
        <f t="shared" si="4"/>
        <v>5256.35</v>
      </c>
      <c r="O116" s="3">
        <f t="shared" si="5"/>
        <v>142883.80000000002</v>
      </c>
      <c r="P116" s="2">
        <v>190</v>
      </c>
    </row>
    <row r="117" spans="1:16" ht="13.5" customHeight="1" outlineLevel="2">
      <c r="A117" s="2" t="s">
        <v>116</v>
      </c>
      <c r="B117" s="2">
        <v>6011470010</v>
      </c>
      <c r="C117" s="2" t="s">
        <v>126</v>
      </c>
      <c r="D117" s="3">
        <v>0</v>
      </c>
      <c r="E117" s="3">
        <f>484095.15+30982.3+9153.35-2.07</f>
        <v>524228.73</v>
      </c>
      <c r="F117" s="3">
        <f>1954669.94+185216.42+100631.9+120060.01</f>
        <v>2360578.2699999996</v>
      </c>
      <c r="G117" s="3">
        <v>48295.5</v>
      </c>
      <c r="H117" s="3">
        <f t="shared" si="3"/>
        <v>2933102.4999999995</v>
      </c>
      <c r="I117" s="3">
        <f>290634.99</f>
        <v>290634.99</v>
      </c>
      <c r="J117" s="3">
        <v>0</v>
      </c>
      <c r="K117" s="3">
        <v>0</v>
      </c>
      <c r="L117" s="3">
        <v>0</v>
      </c>
      <c r="M117" s="3">
        <v>0</v>
      </c>
      <c r="N117" s="3">
        <f t="shared" si="4"/>
        <v>290634.99</v>
      </c>
      <c r="O117" s="3">
        <f t="shared" si="5"/>
        <v>3223737.4899999993</v>
      </c>
      <c r="P117" s="2">
        <v>189</v>
      </c>
    </row>
    <row r="118" spans="1:16" ht="13.5" customHeight="1" outlineLevel="2">
      <c r="A118" s="2" t="s">
        <v>116</v>
      </c>
      <c r="B118" s="2">
        <v>6011470010</v>
      </c>
      <c r="C118" s="2" t="s">
        <v>126</v>
      </c>
      <c r="D118" s="3">
        <v>0</v>
      </c>
      <c r="E118" s="3">
        <v>0</v>
      </c>
      <c r="F118" s="3">
        <v>0</v>
      </c>
      <c r="G118" s="3">
        <v>0</v>
      </c>
      <c r="H118" s="3">
        <f t="shared" si="3"/>
        <v>0</v>
      </c>
      <c r="I118" s="3">
        <f>291881.74+52624+73276.5</f>
        <v>417782.24</v>
      </c>
      <c r="J118" s="3">
        <v>0</v>
      </c>
      <c r="K118" s="3">
        <v>0</v>
      </c>
      <c r="L118" s="3">
        <v>0</v>
      </c>
      <c r="M118" s="3">
        <v>0</v>
      </c>
      <c r="N118" s="3">
        <f t="shared" si="4"/>
        <v>417782.24</v>
      </c>
      <c r="O118" s="3">
        <f t="shared" si="5"/>
        <v>417782.24</v>
      </c>
      <c r="P118" s="2">
        <v>229</v>
      </c>
    </row>
    <row r="119" spans="1:16" ht="13.5" customHeight="1" outlineLevel="2">
      <c r="A119" s="2" t="s">
        <v>116</v>
      </c>
      <c r="B119" s="2">
        <v>6011470010</v>
      </c>
      <c r="C119" s="2" t="s">
        <v>126</v>
      </c>
      <c r="D119" s="3">
        <v>0</v>
      </c>
      <c r="E119" s="3">
        <v>0</v>
      </c>
      <c r="F119" s="3">
        <v>0</v>
      </c>
      <c r="G119" s="3">
        <v>0</v>
      </c>
      <c r="H119" s="3">
        <f t="shared" si="3"/>
        <v>0</v>
      </c>
      <c r="I119" s="3">
        <v>70950.9</v>
      </c>
      <c r="J119" s="3">
        <v>0</v>
      </c>
      <c r="K119" s="3">
        <v>0</v>
      </c>
      <c r="L119" s="3">
        <v>0</v>
      </c>
      <c r="M119" s="3">
        <v>0</v>
      </c>
      <c r="N119" s="3">
        <f t="shared" si="4"/>
        <v>70950.9</v>
      </c>
      <c r="O119" s="3">
        <f t="shared" si="5"/>
        <v>70950.9</v>
      </c>
      <c r="P119" s="2">
        <v>241</v>
      </c>
    </row>
    <row r="120" spans="1:16" ht="13.5" customHeight="1" outlineLevel="2">
      <c r="A120" s="2" t="s">
        <v>116</v>
      </c>
      <c r="B120" s="2">
        <v>6011470011</v>
      </c>
      <c r="C120" s="2" t="s">
        <v>127</v>
      </c>
      <c r="D120" s="3">
        <v>-31840.02</v>
      </c>
      <c r="E120" s="3">
        <f>339035.24+1000.41+84655.36+16410.5</f>
        <v>441101.50999999995</v>
      </c>
      <c r="F120" s="3">
        <f>584726.03+133.4+97630.76</f>
        <v>682490.1900000001</v>
      </c>
      <c r="G120" s="3">
        <v>63907.8</v>
      </c>
      <c r="H120" s="3">
        <f t="shared" si="3"/>
        <v>1155659.48</v>
      </c>
      <c r="I120" s="3">
        <f>74023.21+5405</f>
        <v>79428.21</v>
      </c>
      <c r="J120" s="3">
        <v>0</v>
      </c>
      <c r="K120" s="3">
        <v>0</v>
      </c>
      <c r="L120" s="3">
        <v>0</v>
      </c>
      <c r="M120" s="3">
        <v>0</v>
      </c>
      <c r="N120" s="3">
        <f t="shared" si="4"/>
        <v>79428.21</v>
      </c>
      <c r="O120" s="3">
        <f t="shared" si="5"/>
        <v>1235087.69</v>
      </c>
      <c r="P120" s="2">
        <v>186</v>
      </c>
    </row>
    <row r="121" spans="1:16" ht="13.5" customHeight="1" outlineLevel="2">
      <c r="A121" s="2" t="s">
        <v>116</v>
      </c>
      <c r="B121" s="2">
        <v>6011470012</v>
      </c>
      <c r="C121" s="2" t="s">
        <v>128</v>
      </c>
      <c r="D121" s="3">
        <v>-544.63</v>
      </c>
      <c r="E121" s="3">
        <f>619289.67+41101.35</f>
        <v>660391.02</v>
      </c>
      <c r="F121" s="3">
        <f>35447.38+63.94</f>
        <v>35511.32</v>
      </c>
      <c r="G121" s="3">
        <v>0</v>
      </c>
      <c r="H121" s="3">
        <f t="shared" si="3"/>
        <v>695357.71</v>
      </c>
      <c r="I121" s="3">
        <f>108111.13-130.11</f>
        <v>107981.02</v>
      </c>
      <c r="J121" s="3">
        <v>0</v>
      </c>
      <c r="K121" s="3">
        <v>0</v>
      </c>
      <c r="L121" s="3">
        <v>0</v>
      </c>
      <c r="M121" s="3">
        <v>0</v>
      </c>
      <c r="N121" s="3">
        <f t="shared" si="4"/>
        <v>107981.02</v>
      </c>
      <c r="O121" s="3">
        <f t="shared" si="5"/>
        <v>803338.73</v>
      </c>
      <c r="P121" s="2">
        <v>187</v>
      </c>
    </row>
    <row r="122" spans="1:16" ht="13.5" customHeight="1" outlineLevel="2">
      <c r="A122" s="2" t="s">
        <v>116</v>
      </c>
      <c r="B122" s="2">
        <v>6011470013</v>
      </c>
      <c r="C122" s="2" t="s">
        <v>129</v>
      </c>
      <c r="D122" s="3">
        <f>-12.65</f>
        <v>-12.65</v>
      </c>
      <c r="E122" s="3">
        <f>132163.06+166309.83+96528.66+56633.48</f>
        <v>451635.03</v>
      </c>
      <c r="F122" s="3">
        <f>1241.13+69+2828.5</f>
        <v>4138.63</v>
      </c>
      <c r="G122" s="3">
        <v>0</v>
      </c>
      <c r="H122" s="3">
        <f t="shared" si="3"/>
        <v>455761.01</v>
      </c>
      <c r="I122" s="3">
        <f>81354.68+22287.51</f>
        <v>103642.18999999999</v>
      </c>
      <c r="J122" s="3">
        <v>0</v>
      </c>
      <c r="K122" s="3">
        <v>0</v>
      </c>
      <c r="L122" s="3">
        <v>0</v>
      </c>
      <c r="M122" s="3">
        <v>0</v>
      </c>
      <c r="N122" s="3">
        <f t="shared" si="4"/>
        <v>103642.18999999999</v>
      </c>
      <c r="O122" s="3">
        <f t="shared" si="5"/>
        <v>559403.2</v>
      </c>
      <c r="P122" s="2">
        <v>220</v>
      </c>
    </row>
    <row r="123" spans="1:16" ht="13.5" customHeight="1" outlineLevel="2">
      <c r="A123" s="2" t="s">
        <v>116</v>
      </c>
      <c r="B123" s="2">
        <v>6011470014</v>
      </c>
      <c r="C123" s="2" t="s">
        <v>130</v>
      </c>
      <c r="D123" s="3">
        <v>0</v>
      </c>
      <c r="E123" s="3">
        <f>662998.51+241168.88+70355.64+6712.96-0.09</f>
        <v>981235.9</v>
      </c>
      <c r="F123" s="3">
        <f>415834.33+54873.4+42382.1+47880.65</f>
        <v>560970.48</v>
      </c>
      <c r="G123" s="3">
        <v>0</v>
      </c>
      <c r="H123" s="3">
        <f t="shared" si="3"/>
        <v>1542206.38</v>
      </c>
      <c r="I123" s="3">
        <f>664423.77+22282.85-61429.48</f>
        <v>625277.14</v>
      </c>
      <c r="J123" s="3">
        <v>0</v>
      </c>
      <c r="K123" s="3">
        <v>0</v>
      </c>
      <c r="L123" s="3">
        <v>0</v>
      </c>
      <c r="M123" s="3">
        <v>0</v>
      </c>
      <c r="N123" s="3">
        <f t="shared" si="4"/>
        <v>625277.14</v>
      </c>
      <c r="O123" s="3">
        <f t="shared" si="5"/>
        <v>2167483.52</v>
      </c>
      <c r="P123" s="2">
        <v>217</v>
      </c>
    </row>
    <row r="124" spans="1:16" ht="13.5" customHeight="1" outlineLevel="2">
      <c r="A124" s="2" t="s">
        <v>116</v>
      </c>
      <c r="B124" s="2">
        <v>6011470015</v>
      </c>
      <c r="C124" s="2" t="s">
        <v>131</v>
      </c>
      <c r="D124" s="3">
        <v>0</v>
      </c>
      <c r="E124" s="3">
        <f>398878.32+133129.91+120261.22+6033.64</f>
        <v>658303.09</v>
      </c>
      <c r="F124" s="3">
        <f>481560.46+85178.45+56130.69+60080.25</f>
        <v>682949.8500000001</v>
      </c>
      <c r="G124" s="3">
        <v>0</v>
      </c>
      <c r="H124" s="3">
        <f t="shared" si="3"/>
        <v>1341252.94</v>
      </c>
      <c r="I124" s="3">
        <f>89563.58+10350+27499.49</f>
        <v>127413.07</v>
      </c>
      <c r="J124" s="3">
        <v>0</v>
      </c>
      <c r="K124" s="3">
        <v>0</v>
      </c>
      <c r="L124" s="3">
        <v>0</v>
      </c>
      <c r="M124" s="3">
        <v>0</v>
      </c>
      <c r="N124" s="3">
        <f t="shared" si="4"/>
        <v>127413.07</v>
      </c>
      <c r="O124" s="3">
        <f t="shared" si="5"/>
        <v>1468666.01</v>
      </c>
      <c r="P124" s="2">
        <v>216</v>
      </c>
    </row>
    <row r="125" spans="1:16" ht="13.5" customHeight="1" outlineLevel="2">
      <c r="A125" s="2" t="s">
        <v>116</v>
      </c>
      <c r="B125" s="2">
        <v>6011470016</v>
      </c>
      <c r="C125" s="2" t="s">
        <v>132</v>
      </c>
      <c r="D125" s="3">
        <v>0</v>
      </c>
      <c r="E125" s="3">
        <f>72264.55+94.88+9943.9</f>
        <v>82303.33</v>
      </c>
      <c r="F125" s="3">
        <f>-2076.45+7081.52+6.9</f>
        <v>5011.97</v>
      </c>
      <c r="G125" s="3">
        <v>0</v>
      </c>
      <c r="H125" s="3">
        <f t="shared" si="3"/>
        <v>87315.3</v>
      </c>
      <c r="I125" s="3">
        <v>132548.65</v>
      </c>
      <c r="J125" s="3">
        <v>0</v>
      </c>
      <c r="K125" s="3">
        <v>0</v>
      </c>
      <c r="L125" s="3">
        <v>0</v>
      </c>
      <c r="M125" s="3">
        <v>0</v>
      </c>
      <c r="N125" s="3">
        <f t="shared" si="4"/>
        <v>132548.65</v>
      </c>
      <c r="O125" s="3">
        <f t="shared" si="5"/>
        <v>219863.95</v>
      </c>
      <c r="P125" s="2">
        <v>228</v>
      </c>
    </row>
    <row r="126" spans="1:16" ht="13.5" customHeight="1" outlineLevel="2">
      <c r="A126" s="2" t="s">
        <v>116</v>
      </c>
      <c r="B126" s="2">
        <v>6011470017</v>
      </c>
      <c r="C126" s="2" t="s">
        <v>133</v>
      </c>
      <c r="D126" s="3">
        <v>0</v>
      </c>
      <c r="E126" s="3">
        <f>83266.32+37036.53+122558.01+87579.05</f>
        <v>330439.91</v>
      </c>
      <c r="F126" s="3">
        <f>430560.49+59588.7+56927.86+83715.74</f>
        <v>630792.79</v>
      </c>
      <c r="G126" s="3">
        <v>0</v>
      </c>
      <c r="H126" s="3">
        <f t="shared" si="3"/>
        <v>961232.7</v>
      </c>
      <c r="I126" s="3">
        <v>153057.6</v>
      </c>
      <c r="J126" s="3">
        <v>0</v>
      </c>
      <c r="K126" s="3">
        <v>0</v>
      </c>
      <c r="L126" s="3">
        <v>0</v>
      </c>
      <c r="M126" s="3">
        <v>0</v>
      </c>
      <c r="N126" s="3">
        <f t="shared" si="4"/>
        <v>153057.6</v>
      </c>
      <c r="O126" s="3">
        <f t="shared" si="5"/>
        <v>1114290.3</v>
      </c>
      <c r="P126" s="2">
        <v>251</v>
      </c>
    </row>
    <row r="127" spans="1:16" ht="13.5" customHeight="1" outlineLevel="2">
      <c r="A127" s="2" t="s">
        <v>116</v>
      </c>
      <c r="B127" s="2">
        <v>6011470018</v>
      </c>
      <c r="C127" s="2" t="s">
        <v>134</v>
      </c>
      <c r="D127" s="3">
        <v>0</v>
      </c>
      <c r="E127" s="3">
        <f>140650.65+373.03+52186.93-3842.23</f>
        <v>189368.37999999998</v>
      </c>
      <c r="F127" s="3">
        <f>1031099.94+60120.86+127268.49+119051.8</f>
        <v>1337541.09</v>
      </c>
      <c r="G127" s="3">
        <f>20441.4+2920.2+8760.6</f>
        <v>32122.200000000004</v>
      </c>
      <c r="H127" s="3">
        <f t="shared" si="3"/>
        <v>1559031.67</v>
      </c>
      <c r="I127" s="3">
        <f>176220.66+11640.78+25737</f>
        <v>213598.44</v>
      </c>
      <c r="J127" s="3">
        <v>0</v>
      </c>
      <c r="K127" s="3">
        <v>0</v>
      </c>
      <c r="L127" s="3">
        <v>0</v>
      </c>
      <c r="M127" s="3">
        <v>0</v>
      </c>
      <c r="N127" s="3">
        <f t="shared" si="4"/>
        <v>213598.44</v>
      </c>
      <c r="O127" s="3">
        <f t="shared" si="5"/>
        <v>1772630.1099999999</v>
      </c>
      <c r="P127" s="2">
        <v>252</v>
      </c>
    </row>
    <row r="128" spans="1:16" ht="13.5" customHeight="1" outlineLevel="2">
      <c r="A128" s="2" t="s">
        <v>116</v>
      </c>
      <c r="B128" s="2">
        <v>6011470019</v>
      </c>
      <c r="C128" s="2" t="s">
        <v>135</v>
      </c>
      <c r="D128" s="3">
        <v>0</v>
      </c>
      <c r="E128" s="3">
        <f>283284.75+84574.74+550472.73+128204.09</f>
        <v>1046536.3099999999</v>
      </c>
      <c r="F128" s="3">
        <f>2935839.89+382555.79+330831.75+434580.99</f>
        <v>4083808.42</v>
      </c>
      <c r="G128" s="3">
        <f>26281.8+23361.6+11680.8+11680.8</f>
        <v>73005</v>
      </c>
      <c r="H128" s="3">
        <f t="shared" si="3"/>
        <v>5203349.7299999995</v>
      </c>
      <c r="I128" s="3">
        <f>870945.2+57643.75+37157.28</f>
        <v>965746.23</v>
      </c>
      <c r="J128" s="3">
        <v>0</v>
      </c>
      <c r="K128" s="3">
        <v>0</v>
      </c>
      <c r="L128" s="3">
        <v>0</v>
      </c>
      <c r="M128" s="3">
        <v>0</v>
      </c>
      <c r="N128" s="3">
        <f t="shared" si="4"/>
        <v>965746.23</v>
      </c>
      <c r="O128" s="3">
        <f t="shared" si="5"/>
        <v>6169095.959999999</v>
      </c>
      <c r="P128" s="2">
        <v>250</v>
      </c>
    </row>
    <row r="129" spans="1:16" ht="13.5" customHeight="1" outlineLevel="1">
      <c r="A129" s="9" t="s">
        <v>141</v>
      </c>
      <c r="B129" s="10"/>
      <c r="C129" s="10"/>
      <c r="D129" s="7">
        <f aca="true" t="shared" si="8" ref="D129:N129">SUBTOTAL(9,D108:D128)</f>
        <v>-39147.54</v>
      </c>
      <c r="E129" s="7">
        <f t="shared" si="8"/>
        <v>5840257.489999999</v>
      </c>
      <c r="F129" s="7">
        <f t="shared" si="8"/>
        <v>11388053.669999998</v>
      </c>
      <c r="G129" s="7">
        <f t="shared" si="8"/>
        <v>282582.05000000005</v>
      </c>
      <c r="H129" s="7">
        <f t="shared" si="8"/>
        <v>17471745.669999998</v>
      </c>
      <c r="I129" s="7">
        <f t="shared" si="8"/>
        <v>3531493.54</v>
      </c>
      <c r="J129" s="7">
        <f t="shared" si="8"/>
        <v>0</v>
      </c>
      <c r="K129" s="7">
        <f t="shared" si="8"/>
        <v>0</v>
      </c>
      <c r="L129" s="7">
        <f t="shared" si="8"/>
        <v>0</v>
      </c>
      <c r="M129" s="7">
        <f t="shared" si="8"/>
        <v>0</v>
      </c>
      <c r="N129" s="7">
        <f t="shared" si="8"/>
        <v>3531493.54</v>
      </c>
      <c r="O129" s="7">
        <f>H129+N129</f>
        <v>21003239.209999997</v>
      </c>
      <c r="P129" s="2"/>
    </row>
    <row r="130" spans="1:16" ht="13.5" customHeight="1" outlineLevel="2">
      <c r="A130" s="2" t="s">
        <v>136</v>
      </c>
      <c r="B130" s="2">
        <v>6011570001</v>
      </c>
      <c r="C130" s="2" t="s">
        <v>137</v>
      </c>
      <c r="D130" s="3">
        <v>0</v>
      </c>
      <c r="E130" s="3">
        <f>36721.69+32787.81+101760.94</f>
        <v>171270.44</v>
      </c>
      <c r="F130" s="3">
        <f>34965.28-192.15+9896.92</f>
        <v>44670.049999999996</v>
      </c>
      <c r="G130" s="3">
        <f>29201.2+14600.6+14600</f>
        <v>58401.8</v>
      </c>
      <c r="H130" s="3">
        <f t="shared" si="3"/>
        <v>274342.29</v>
      </c>
      <c r="I130" s="3"/>
      <c r="J130" s="3">
        <v>38869.89</v>
      </c>
      <c r="K130" s="3">
        <f>116438.42+808146.6+241253.5+257685.58</f>
        <v>1423524.1</v>
      </c>
      <c r="L130" s="3">
        <v>0</v>
      </c>
      <c r="M130" s="3">
        <v>0</v>
      </c>
      <c r="N130" s="3">
        <f t="shared" si="4"/>
        <v>1462393.99</v>
      </c>
      <c r="O130" s="3">
        <f t="shared" si="5"/>
        <v>1736736.28</v>
      </c>
      <c r="P130" s="2">
        <v>260</v>
      </c>
    </row>
    <row r="131" spans="1:16" ht="13.5" customHeight="1" outlineLevel="2">
      <c r="A131" s="2" t="s">
        <v>136</v>
      </c>
      <c r="B131" s="2">
        <v>6011570002</v>
      </c>
      <c r="C131" s="2" t="s">
        <v>138</v>
      </c>
      <c r="D131" s="3">
        <v>0</v>
      </c>
      <c r="E131" s="3">
        <v>1874.28</v>
      </c>
      <c r="F131" s="3">
        <f>6435.61+32439.14+10973.63-21377.43</f>
        <v>28470.949999999997</v>
      </c>
      <c r="G131" s="3">
        <v>0</v>
      </c>
      <c r="H131" s="3">
        <f t="shared" si="3"/>
        <v>30345.229999999996</v>
      </c>
      <c r="I131" s="3">
        <v>0</v>
      </c>
      <c r="J131" s="3">
        <v>0</v>
      </c>
      <c r="K131" s="3">
        <f>53301.5+59000+21648.05</f>
        <v>133949.55</v>
      </c>
      <c r="L131" s="3">
        <v>0</v>
      </c>
      <c r="M131" s="3">
        <v>0</v>
      </c>
      <c r="N131" s="3">
        <f t="shared" si="4"/>
        <v>133949.55</v>
      </c>
      <c r="O131" s="3">
        <f t="shared" si="5"/>
        <v>164294.77999999997</v>
      </c>
      <c r="P131" s="2">
        <v>261</v>
      </c>
    </row>
    <row r="132" spans="1:16" ht="13.5" customHeight="1" outlineLevel="1">
      <c r="A132" s="9" t="s">
        <v>142</v>
      </c>
      <c r="B132" s="10"/>
      <c r="C132" s="10"/>
      <c r="D132" s="7">
        <f aca="true" t="shared" si="9" ref="D132:N132">SUBTOTAL(9,D130:D131)</f>
        <v>0</v>
      </c>
      <c r="E132" s="7">
        <f t="shared" si="9"/>
        <v>173144.72</v>
      </c>
      <c r="F132" s="7">
        <f t="shared" si="9"/>
        <v>73141</v>
      </c>
      <c r="G132" s="7">
        <f t="shared" si="9"/>
        <v>58401.8</v>
      </c>
      <c r="H132" s="7">
        <f t="shared" si="9"/>
        <v>304687.51999999996</v>
      </c>
      <c r="I132" s="7">
        <f t="shared" si="9"/>
        <v>0</v>
      </c>
      <c r="J132" s="7">
        <f t="shared" si="9"/>
        <v>38869.89</v>
      </c>
      <c r="K132" s="7">
        <f t="shared" si="9"/>
        <v>1557473.6500000001</v>
      </c>
      <c r="L132" s="7">
        <f t="shared" si="9"/>
        <v>0</v>
      </c>
      <c r="M132" s="7">
        <f t="shared" si="9"/>
        <v>0</v>
      </c>
      <c r="N132" s="7">
        <f t="shared" si="9"/>
        <v>1596343.54</v>
      </c>
      <c r="O132" s="7">
        <f t="shared" si="5"/>
        <v>1901031.06</v>
      </c>
      <c r="P132" s="2"/>
    </row>
    <row r="133" spans="1:16" ht="13.5" customHeight="1">
      <c r="A133" s="4" t="s">
        <v>16</v>
      </c>
      <c r="B133" s="2"/>
      <c r="C133" s="2"/>
      <c r="D133" s="6">
        <f aca="true" t="shared" si="10" ref="D133:N133">SUBTOTAL(9,D2:D131)</f>
        <v>1027778.0899999999</v>
      </c>
      <c r="E133" s="6">
        <f t="shared" si="10"/>
        <v>6937113.33</v>
      </c>
      <c r="F133" s="6">
        <f t="shared" si="10"/>
        <v>14874340.709999999</v>
      </c>
      <c r="G133" s="6">
        <f t="shared" si="10"/>
        <v>1495644.28</v>
      </c>
      <c r="H133" s="6">
        <f t="shared" si="10"/>
        <v>24334876.410000004</v>
      </c>
      <c r="I133" s="6">
        <f t="shared" si="10"/>
        <v>63675460.86000002</v>
      </c>
      <c r="J133" s="6">
        <f t="shared" si="10"/>
        <v>457290.29</v>
      </c>
      <c r="K133" s="6">
        <f t="shared" si="10"/>
        <v>3541981.37</v>
      </c>
      <c r="L133" s="6">
        <f t="shared" si="10"/>
        <v>0</v>
      </c>
      <c r="M133" s="6">
        <f t="shared" si="10"/>
        <v>34530964.919999994</v>
      </c>
      <c r="N133" s="6">
        <f t="shared" si="10"/>
        <v>102205697.44</v>
      </c>
      <c r="O133" s="6">
        <f t="shared" si="5"/>
        <v>126540573.85</v>
      </c>
      <c r="P133" s="2"/>
    </row>
    <row r="135" spans="8:9" ht="13.5" customHeight="1">
      <c r="H135" s="12" t="s">
        <v>144</v>
      </c>
      <c r="I135" s="13">
        <f>SUM(I133:L133)</f>
        <v>67674732.52000003</v>
      </c>
    </row>
  </sheetData>
  <printOptions/>
  <pageMargins left="0.2362204724409449" right="0.15748031496062992" top="0.984251968503937" bottom="0.35433070866141736" header="0.07874015748031496" footer="0.07874015748031496"/>
  <pageSetup fitToHeight="4" fitToWidth="1" horizontalDpi="600" verticalDpi="600" orientation="landscape" scale="70" r:id="rId1"/>
  <headerFooter alignWithMargins="0">
    <oddHeader>&amp;C&amp;"Arial,Negrita"
INSTITUTO NACIONAL DE ASTROFISICA OPTICA Y ELECTRONICA
PRESUPUESTO EJERCIDO DE PROYECTOS EXTERNOS POR CAPITULO
EJERCICIO: 2006    PERIODO: ENERO-DICIEMBRE GTOS. EN EFECTIVO     F.F.:4 CONACYT</oddHeader>
    <oddFooter>&amp;L&amp;"Arial"&amp;8
18-Oct-2006 12:14&amp;R&amp;"Arial"&amp;8Hoja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Proyectos Especiales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Lucina Sanchez Coliote</dc:creator>
  <cp:keywords/>
  <dc:description/>
  <cp:lastModifiedBy>Aremi Castillo Saucedo</cp:lastModifiedBy>
  <cp:lastPrinted>2007-03-20T16:17:46Z</cp:lastPrinted>
  <dcterms:created xsi:type="dcterms:W3CDTF">2006-10-18T17:00:31Z</dcterms:created>
  <dcterms:modified xsi:type="dcterms:W3CDTF">2007-03-20T16:17:48Z</dcterms:modified>
  <cp:category/>
  <cp:version/>
  <cp:contentType/>
  <cp:contentStatus/>
</cp:coreProperties>
</file>